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300" windowWidth="28800" windowHeight="12000" activeTab="15"/>
  </bookViews>
  <sheets>
    <sheet name="PDP1" sheetId="26" r:id="rId1"/>
    <sheet name="Sheet1" sheetId="8" state="hidden" r:id="rId2"/>
    <sheet name="PDP2" sheetId="9" r:id="rId3"/>
    <sheet name="PDP3" sheetId="10" r:id="rId4"/>
    <sheet name="PDP4" sheetId="11" r:id="rId5"/>
    <sheet name="PDP5" sheetId="12" r:id="rId6"/>
    <sheet name="PDP6" sheetId="13" r:id="rId7"/>
    <sheet name="PDP7" sheetId="14" r:id="rId8"/>
    <sheet name="PDP8" sheetId="15" r:id="rId9"/>
    <sheet name="PDP9" sheetId="23" r:id="rId10"/>
    <sheet name="PDP10" sheetId="17" r:id="rId11"/>
    <sheet name="PDP11" sheetId="18" r:id="rId12"/>
    <sheet name="PDP12" sheetId="27" r:id="rId13"/>
    <sheet name="PDP13" sheetId="24" r:id="rId14"/>
    <sheet name="PDP14" sheetId="21" r:id="rId15"/>
    <sheet name="Total" sheetId="22"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_xlnm._FilterDatabase" localSheetId="0" hidden="1">'PDP1'!$A$10:$H$10</definedName>
    <definedName name="_xlnm._FilterDatabase" localSheetId="12" hidden="1">'PDP12'!$A$10:$H$10</definedName>
    <definedName name="Account" localSheetId="0">[1]!Table3[Account]</definedName>
    <definedName name="Account" localSheetId="12">[1]!Table3[Account]</definedName>
    <definedName name="Account" localSheetId="13">#REF!</definedName>
    <definedName name="Account" localSheetId="9">[1]!Table3[Account]</definedName>
    <definedName name="Account">[2]!Table3[Account]</definedName>
    <definedName name="CodeActivity" localSheetId="0">[1]!Table58[code]</definedName>
    <definedName name="CodeActivity" localSheetId="12">[1]!Table58[code]</definedName>
    <definedName name="CodeActivity" localSheetId="13">#REF!</definedName>
    <definedName name="CodeActivity" localSheetId="9">[1]!Table58[code]</definedName>
    <definedName name="CodeActivity">[2]!Table58[code]</definedName>
    <definedName name="CodeClass" localSheetId="0">[1]!Table71[code]</definedName>
    <definedName name="CodeClass" localSheetId="12">[1]!Table71[code]</definedName>
    <definedName name="CodeClass" localSheetId="13">#REF!</definedName>
    <definedName name="CodeClass" localSheetId="9">[1]!Table71[code]</definedName>
    <definedName name="CodeClass">[2]!Table71[code]</definedName>
    <definedName name="CodeDonor" localSheetId="0">[1]!Table70[code]</definedName>
    <definedName name="CodeDonor" localSheetId="12">[1]!Table70[code]</definedName>
    <definedName name="CodeDonor" localSheetId="13">#REF!</definedName>
    <definedName name="CodeDonor" localSheetId="9">[1]!Table70[code]</definedName>
    <definedName name="CodeDonor">[2]!Table70[code]</definedName>
    <definedName name="CodeSubOffice" localSheetId="0">[1]!Table4[Location ID]</definedName>
    <definedName name="CodeSubOffice" localSheetId="12">[1]!Table4[Location ID]</definedName>
    <definedName name="CodeSubOffice" localSheetId="13">#REF!</definedName>
    <definedName name="CodeSubOffice" localSheetId="9">[1]!Table4[Location ID]</definedName>
    <definedName name="CodeSubOffice">[2]!Table4[Location ID]</definedName>
    <definedName name="CostCenter" localSheetId="0">[1]!Table412[code]</definedName>
    <definedName name="CostCenter" localSheetId="12">[1]!Table412[code]</definedName>
    <definedName name="CostCenter" localSheetId="13">#REF!</definedName>
    <definedName name="CostCenter" localSheetId="9">[1]!Table412[code]</definedName>
    <definedName name="CostCenter">[2]!Table412[code]</definedName>
    <definedName name="CurList" localSheetId="0">[1]!Table20[Currencies]</definedName>
    <definedName name="CurList" localSheetId="12">[1]!Table20[Currencies]</definedName>
    <definedName name="CurList" localSheetId="13">#REF!</definedName>
    <definedName name="CurList" localSheetId="9">[1]!Table20[Currencies]</definedName>
    <definedName name="CurList">[2]!Table20[Currencies]</definedName>
    <definedName name="DonorCode" localSheetId="0">[1]!Table27[DonorCode]</definedName>
    <definedName name="DonorCode" localSheetId="12">[1]!Table27[DonorCode]</definedName>
    <definedName name="DonorCode" localSheetId="13">#REF!</definedName>
    <definedName name="DonorCode" localSheetId="9">[1]!Table27[DonorCode]</definedName>
    <definedName name="DonorCode">[2]!Table27[DonorCode]</definedName>
    <definedName name="DonorName" localSheetId="0">[1]!Table27[DonorName]</definedName>
    <definedName name="DonorName" localSheetId="12">[1]!Table27[DonorName]</definedName>
    <definedName name="DonorName" localSheetId="13">#REF!</definedName>
    <definedName name="DonorName" localSheetId="9">[1]!Table27[DonorName]</definedName>
    <definedName name="DonorName">[2]!Table27[DonorName]</definedName>
    <definedName name="OneZero" localSheetId="0">[1]_SetUP!$I$70:$I$71</definedName>
    <definedName name="OneZero" localSheetId="12">[1]_SetUP!$I$70:$I$71</definedName>
    <definedName name="OneZero" localSheetId="13">[1]_SetUP!$I$70:$I$71</definedName>
    <definedName name="OneZero" localSheetId="9">[1]_SetUP!$I$70:$I$71</definedName>
    <definedName name="OneZero">[2]_SetUP!$I$70:$I$71</definedName>
    <definedName name="_xlnm.Print_Area" localSheetId="0">'PDP1'!$A$1:$H$74</definedName>
    <definedName name="_xlnm.Print_Area" localSheetId="12">'PDP12'!$A$1:$G$86</definedName>
    <definedName name="_xlnm.Print_Titles" localSheetId="0">'PDP1'!$10:$10</definedName>
    <definedName name="ProjectList" localSheetId="0">[1]!Table214[Project]</definedName>
    <definedName name="ProjectList" localSheetId="12">[1]!Table214[Project]</definedName>
    <definedName name="ProjectList" localSheetId="13">#REF!</definedName>
    <definedName name="ProjectList" localSheetId="9">[1]!Table214[Project]</definedName>
    <definedName name="ProjectList">[2]!Table214[Project]</definedName>
    <definedName name="QQQQQQ" localSheetId="0">[1]!Table3[Account]</definedName>
    <definedName name="QQQQQQ" localSheetId="12">[1]!Table3[Account]</definedName>
    <definedName name="QQQQQQ" localSheetId="13">#REF!</definedName>
    <definedName name="QQQQQQ" localSheetId="9">[1]!Table3[Account]</definedName>
    <definedName name="QQQQQQ">[2]!Table3[Account]</definedName>
    <definedName name="QQQwww" localSheetId="0">[1]!Table58[code]</definedName>
    <definedName name="QQQwww" localSheetId="12">[1]!Table58[code]</definedName>
    <definedName name="QQQwww" localSheetId="13">#REF!</definedName>
    <definedName name="QQQwww" localSheetId="9">[1]!Table58[code]</definedName>
    <definedName name="QQQwww">[2]!Table58[code]</definedName>
    <definedName name="ResNO" localSheetId="0">[1]!Table2[ResID]</definedName>
    <definedName name="ResNO" localSheetId="12">[1]!Table2[ResID]</definedName>
    <definedName name="ResNO" localSheetId="13">#REF!</definedName>
    <definedName name="ResNO" localSheetId="9">[1]!Table2[ResID]</definedName>
    <definedName name="ResNO">[2]!Table2[ResID]</definedName>
    <definedName name="Site" localSheetId="0">[1]!Table41213[code]</definedName>
    <definedName name="Site" localSheetId="12">[1]!Table41213[code]</definedName>
    <definedName name="Site" localSheetId="13">#REF!</definedName>
    <definedName name="Site" localSheetId="9">[1]!Table41213[code]</definedName>
    <definedName name="Site">[2]!Table41213[code]</definedName>
    <definedName name="SubOffice" localSheetId="0">[1]!Table4[Lacation Name]</definedName>
    <definedName name="SubOffice" localSheetId="12">[1]!Table4[Lacation Name]</definedName>
    <definedName name="SubOffice" localSheetId="13">#REF!</definedName>
    <definedName name="SubOffice" localSheetId="9">[1]!Table4[Lacation Name]</definedName>
    <definedName name="SubOffice">[2]!Table4[Lacation Name]</definedName>
    <definedName name="UnitCode" localSheetId="0">[1]!Table46[UnitCode]</definedName>
    <definedName name="UnitCode" localSheetId="12">[1]!Table46[UnitCode]</definedName>
    <definedName name="UnitCode" localSheetId="13">#REF!</definedName>
    <definedName name="UnitCode" localSheetId="9">[1]!Table46[UnitCode]</definedName>
    <definedName name="UnitCode">[2]!Table46[UnitCode]</definedName>
    <definedName name="UnitName" localSheetId="0">[1]!Table46[Name]</definedName>
    <definedName name="UnitName" localSheetId="12">[1]!Table46[Name]</definedName>
    <definedName name="UnitName" localSheetId="13">#REF!</definedName>
    <definedName name="UnitName" localSheetId="9">[1]!Table46[Name]</definedName>
    <definedName name="UnitName">[2]!Table46[Name]</definedName>
    <definedName name="UnitType" localSheetId="0">[1]!Table1[Units Name]</definedName>
    <definedName name="UnitType" localSheetId="12">[1]!Table1[Units Name]</definedName>
    <definedName name="UnitType" localSheetId="13">#REF!</definedName>
    <definedName name="UnitType" localSheetId="9">[1]!Table1[Units Name]</definedName>
    <definedName name="UnitType">[2]!Table1[Units Name]</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F3" i="22" l="1"/>
  <c r="F2" i="22"/>
  <c r="B104" i="27"/>
  <c r="B105" i="27" s="1"/>
  <c r="B103" i="27"/>
  <c r="F97" i="27" l="1"/>
  <c r="E97" i="27"/>
  <c r="D97" i="27"/>
  <c r="C97" i="27"/>
  <c r="F96" i="27"/>
  <c r="B96" i="27"/>
  <c r="F95" i="27"/>
  <c r="D95" i="27"/>
  <c r="C95" i="27"/>
  <c r="G94" i="27"/>
  <c r="F94" i="27"/>
  <c r="E94" i="27"/>
  <c r="D94" i="27"/>
  <c r="C94" i="27"/>
  <c r="B94" i="27"/>
  <c r="F93" i="27"/>
  <c r="E93" i="27"/>
  <c r="C93" i="27"/>
  <c r="B93" i="27"/>
  <c r="F92" i="27"/>
  <c r="D92" i="27"/>
  <c r="C92" i="27"/>
  <c r="B92" i="27"/>
  <c r="F91" i="27"/>
  <c r="C91" i="27"/>
  <c r="B91" i="27"/>
  <c r="F90" i="27"/>
  <c r="F99" i="27" s="1"/>
  <c r="E90" i="27"/>
  <c r="C90" i="27"/>
  <c r="H79" i="27"/>
  <c r="H78" i="27"/>
  <c r="E78" i="27"/>
  <c r="H77" i="27"/>
  <c r="E77" i="27"/>
  <c r="H76" i="27"/>
  <c r="E76" i="27"/>
  <c r="H75" i="27"/>
  <c r="E75" i="27"/>
  <c r="H74" i="27"/>
  <c r="E74" i="27"/>
  <c r="H73" i="27"/>
  <c r="E73" i="27"/>
  <c r="H72" i="27"/>
  <c r="E72" i="27"/>
  <c r="H71" i="27"/>
  <c r="E71" i="27"/>
  <c r="H70" i="27"/>
  <c r="E70" i="27"/>
  <c r="H69" i="27"/>
  <c r="E69" i="27"/>
  <c r="E79" i="27" s="1"/>
  <c r="H67" i="27"/>
  <c r="H66" i="27"/>
  <c r="E66" i="27"/>
  <c r="H65" i="27"/>
  <c r="E65" i="27"/>
  <c r="H64" i="27"/>
  <c r="E64" i="27"/>
  <c r="H63" i="27"/>
  <c r="E63" i="27"/>
  <c r="H62" i="27"/>
  <c r="E62" i="27"/>
  <c r="E95" i="27" s="1"/>
  <c r="H61" i="27"/>
  <c r="E61" i="27"/>
  <c r="E92" i="27" s="1"/>
  <c r="H60" i="27"/>
  <c r="E60" i="27"/>
  <c r="H59" i="27"/>
  <c r="E59" i="27"/>
  <c r="E58" i="27"/>
  <c r="H57" i="27"/>
  <c r="E57" i="27"/>
  <c r="E56" i="27"/>
  <c r="E55" i="27"/>
  <c r="E54" i="27"/>
  <c r="E91" i="27" s="1"/>
  <c r="E53" i="27"/>
  <c r="E67" i="27" s="1"/>
  <c r="H52" i="27"/>
  <c r="H50" i="27"/>
  <c r="H49" i="27"/>
  <c r="E49" i="27"/>
  <c r="H48" i="27"/>
  <c r="E48" i="27"/>
  <c r="H47" i="27"/>
  <c r="E47" i="27"/>
  <c r="H46" i="27"/>
  <c r="E46" i="27"/>
  <c r="H45" i="27"/>
  <c r="E45" i="27"/>
  <c r="H44" i="27"/>
  <c r="E44" i="27"/>
  <c r="D93" i="27" s="1"/>
  <c r="H43" i="27"/>
  <c r="E43" i="27"/>
  <c r="H42" i="27"/>
  <c r="E42" i="27"/>
  <c r="D90" i="27" s="1"/>
  <c r="H41" i="27"/>
  <c r="E41" i="27"/>
  <c r="H40" i="27"/>
  <c r="E40" i="27"/>
  <c r="D91" i="27" s="1"/>
  <c r="H39" i="27"/>
  <c r="E39" i="27"/>
  <c r="H38" i="27"/>
  <c r="E38" i="27"/>
  <c r="D96" i="27" s="1"/>
  <c r="H36" i="27"/>
  <c r="H35" i="27"/>
  <c r="E35" i="27"/>
  <c r="H34" i="27"/>
  <c r="E34" i="27"/>
  <c r="H33" i="27"/>
  <c r="E33" i="27"/>
  <c r="H32" i="27"/>
  <c r="E32" i="27"/>
  <c r="H31" i="27"/>
  <c r="E31" i="27"/>
  <c r="H30" i="27"/>
  <c r="E30" i="27"/>
  <c r="H29" i="27"/>
  <c r="E29" i="27"/>
  <c r="H28" i="27"/>
  <c r="E28" i="27"/>
  <c r="H27" i="27"/>
  <c r="E27" i="27"/>
  <c r="E26" i="27"/>
  <c r="H25" i="27"/>
  <c r="E25" i="27"/>
  <c r="C96" i="27" s="1"/>
  <c r="H22" i="27"/>
  <c r="H21" i="27"/>
  <c r="E21" i="27"/>
  <c r="H20" i="27"/>
  <c r="E20" i="27"/>
  <c r="H19" i="27"/>
  <c r="E19" i="27"/>
  <c r="H18" i="27"/>
  <c r="E18" i="27"/>
  <c r="H17" i="27"/>
  <c r="E17" i="27"/>
  <c r="B97" i="27" s="1"/>
  <c r="G97" i="27" s="1"/>
  <c r="E16" i="27"/>
  <c r="H15" i="27"/>
  <c r="E15" i="27"/>
  <c r="B95" i="27" s="1"/>
  <c r="G95" i="27" s="1"/>
  <c r="H14" i="27"/>
  <c r="E14" i="27"/>
  <c r="E22" i="27" s="1"/>
  <c r="H13" i="27"/>
  <c r="E13" i="27"/>
  <c r="B90" i="27" s="1"/>
  <c r="G90" i="27" l="1"/>
  <c r="B99" i="27"/>
  <c r="E85" i="27"/>
  <c r="C99" i="27"/>
  <c r="G92" i="27"/>
  <c r="D99" i="27"/>
  <c r="G91" i="27"/>
  <c r="G93" i="27"/>
  <c r="E36" i="27"/>
  <c r="E80" i="27" s="1"/>
  <c r="E96" i="27"/>
  <c r="G96" i="27" s="1"/>
  <c r="E50" i="27"/>
  <c r="B78" i="26"/>
  <c r="E82" i="27" l="1"/>
  <c r="G98" i="27" s="1"/>
  <c r="E99" i="27"/>
  <c r="E100" i="27" s="1"/>
  <c r="E86" i="27"/>
  <c r="G99" i="27"/>
  <c r="C100" i="27" s="1"/>
  <c r="F73" i="26"/>
  <c r="G72" i="26"/>
  <c r="G71" i="26"/>
  <c r="G68" i="26"/>
  <c r="B66" i="26"/>
  <c r="G66" i="26" s="1"/>
  <c r="H53" i="26"/>
  <c r="E52" i="26"/>
  <c r="E70" i="26" s="1"/>
  <c r="E51" i="26"/>
  <c r="E64" i="26" s="1"/>
  <c r="E73" i="26" s="1"/>
  <c r="H49" i="26"/>
  <c r="E48" i="26"/>
  <c r="D65" i="26" s="1"/>
  <c r="E47" i="26"/>
  <c r="D64" i="26" s="1"/>
  <c r="D73" i="26" s="1"/>
  <c r="H45" i="26"/>
  <c r="E44" i="26"/>
  <c r="C69" i="26" s="1"/>
  <c r="E43" i="26"/>
  <c r="C67" i="26" s="1"/>
  <c r="G67" i="26" s="1"/>
  <c r="E42" i="26"/>
  <c r="E41" i="26"/>
  <c r="D40" i="26"/>
  <c r="E40" i="26" s="1"/>
  <c r="E39" i="26"/>
  <c r="C38" i="26"/>
  <c r="E38" i="26" s="1"/>
  <c r="E37" i="26"/>
  <c r="C36" i="26"/>
  <c r="E36" i="26" s="1"/>
  <c r="E35" i="26"/>
  <c r="C34" i="26"/>
  <c r="E34" i="26" s="1"/>
  <c r="C33" i="26"/>
  <c r="E33" i="26" s="1"/>
  <c r="E32" i="26"/>
  <c r="E31" i="26"/>
  <c r="E30" i="26"/>
  <c r="E29" i="26"/>
  <c r="C65" i="26" s="1"/>
  <c r="E28" i="26"/>
  <c r="E27" i="26"/>
  <c r="H26" i="26"/>
  <c r="E26" i="26"/>
  <c r="E22" i="26"/>
  <c r="B69" i="26" s="1"/>
  <c r="G69" i="26" s="1"/>
  <c r="E21" i="26"/>
  <c r="E20" i="26"/>
  <c r="B65" i="26" s="1"/>
  <c r="G65" i="26" s="1"/>
  <c r="E19" i="26"/>
  <c r="E18" i="26"/>
  <c r="E17" i="26"/>
  <c r="E16" i="26"/>
  <c r="E15" i="26"/>
  <c r="E14" i="26"/>
  <c r="E13" i="26"/>
  <c r="E24" i="26" s="1"/>
  <c r="H93" i="27" l="1"/>
  <c r="H90" i="27"/>
  <c r="H91" i="27"/>
  <c r="H97" i="27"/>
  <c r="H95" i="27"/>
  <c r="F100" i="27"/>
  <c r="H94" i="27"/>
  <c r="E83" i="27"/>
  <c r="H98" i="27"/>
  <c r="D100" i="27"/>
  <c r="H92" i="27"/>
  <c r="B100" i="27"/>
  <c r="H96" i="27"/>
  <c r="E59" i="26"/>
  <c r="C64" i="26"/>
  <c r="C70" i="26"/>
  <c r="G70" i="26" s="1"/>
  <c r="E45" i="26"/>
  <c r="E53" i="26"/>
  <c r="B64" i="26"/>
  <c r="E49" i="26"/>
  <c r="B73" i="26" l="1"/>
  <c r="G64" i="26"/>
  <c r="C73" i="26"/>
  <c r="E60" i="26"/>
  <c r="E54" i="26"/>
  <c r="E57" i="26" s="1"/>
  <c r="B80" i="26" l="1"/>
  <c r="G73" i="26"/>
  <c r="H64" i="26"/>
  <c r="B74" i="26"/>
  <c r="G74" i="26" l="1"/>
  <c r="H71" i="26"/>
  <c r="H67" i="26"/>
  <c r="F74" i="26"/>
  <c r="H72" i="26"/>
  <c r="D74" i="26"/>
  <c r="H68" i="26"/>
  <c r="H66" i="26"/>
  <c r="H65" i="26"/>
  <c r="H73" i="26" s="1"/>
  <c r="H69" i="26"/>
  <c r="E74" i="26"/>
  <c r="H70" i="26"/>
  <c r="C74" i="26"/>
  <c r="B131" i="21" l="1"/>
  <c r="B105" i="23"/>
  <c r="B76" i="15"/>
  <c r="H72" i="24" l="1"/>
  <c r="I72" i="24" s="1"/>
  <c r="H71" i="24"/>
  <c r="I71" i="24" s="1"/>
  <c r="H70" i="24"/>
  <c r="I69" i="24"/>
  <c r="H69" i="24"/>
  <c r="H68" i="24"/>
  <c r="H67" i="24"/>
  <c r="H56" i="24"/>
  <c r="H55" i="24"/>
  <c r="E55" i="24"/>
  <c r="H74" i="24" s="1"/>
  <c r="H54" i="24"/>
  <c r="E54" i="24"/>
  <c r="H53" i="24"/>
  <c r="E53" i="24"/>
  <c r="H52" i="24"/>
  <c r="E52" i="24"/>
  <c r="H51" i="24"/>
  <c r="E51" i="24"/>
  <c r="E56" i="24" s="1"/>
  <c r="H49" i="24"/>
  <c r="H48" i="24"/>
  <c r="E48" i="24"/>
  <c r="H47" i="24"/>
  <c r="E47" i="24"/>
  <c r="H46" i="24"/>
  <c r="E46" i="24"/>
  <c r="E49" i="24" s="1"/>
  <c r="H44" i="24"/>
  <c r="E44" i="24"/>
  <c r="E43" i="24"/>
  <c r="H42" i="24"/>
  <c r="E42" i="24"/>
  <c r="H41" i="24"/>
  <c r="E41" i="24"/>
  <c r="H40" i="24"/>
  <c r="E40" i="24"/>
  <c r="H39" i="24"/>
  <c r="E39" i="24"/>
  <c r="H38" i="24"/>
  <c r="E38" i="24"/>
  <c r="H37" i="24"/>
  <c r="E37" i="24"/>
  <c r="F73" i="24" s="1"/>
  <c r="H36" i="24"/>
  <c r="E36" i="24"/>
  <c r="H35" i="24"/>
  <c r="E35" i="24"/>
  <c r="F74" i="24" s="1"/>
  <c r="H34" i="24"/>
  <c r="E34" i="24"/>
  <c r="H33" i="24"/>
  <c r="E33" i="24"/>
  <c r="F68" i="24" s="1"/>
  <c r="F76" i="24" s="1"/>
  <c r="H31" i="24"/>
  <c r="H30" i="24"/>
  <c r="E30" i="24"/>
  <c r="E31" i="24" s="1"/>
  <c r="G49" i="24" s="1"/>
  <c r="H28" i="24"/>
  <c r="H27" i="24"/>
  <c r="E27" i="24"/>
  <c r="D74" i="24" s="1"/>
  <c r="H25" i="24"/>
  <c r="H24" i="24"/>
  <c r="E24" i="24"/>
  <c r="H23" i="24"/>
  <c r="E23" i="24"/>
  <c r="C68" i="24" s="1"/>
  <c r="H22" i="24"/>
  <c r="E22" i="24"/>
  <c r="C73" i="24" s="1"/>
  <c r="H20" i="24"/>
  <c r="H19" i="24"/>
  <c r="E19" i="24"/>
  <c r="H18" i="24"/>
  <c r="E18" i="24"/>
  <c r="H17" i="24"/>
  <c r="E17" i="24"/>
  <c r="H16" i="24"/>
  <c r="E16" i="24"/>
  <c r="H15" i="24"/>
  <c r="H14" i="24"/>
  <c r="E14" i="24"/>
  <c r="D76" i="24" l="1"/>
  <c r="I74" i="24"/>
  <c r="I68" i="24"/>
  <c r="C76" i="24"/>
  <c r="B67" i="24"/>
  <c r="H76" i="24"/>
  <c r="E20" i="24"/>
  <c r="E15" i="24"/>
  <c r="E25" i="24"/>
  <c r="E70" i="24"/>
  <c r="G73" i="24"/>
  <c r="G76" i="24" s="1"/>
  <c r="E28" i="24"/>
  <c r="I70" i="24" l="1"/>
  <c r="E76" i="24"/>
  <c r="E62" i="24"/>
  <c r="E57" i="24"/>
  <c r="I73" i="24"/>
  <c r="B76" i="24"/>
  <c r="I67" i="24"/>
  <c r="E63" i="24"/>
  <c r="F97" i="23"/>
  <c r="F96" i="23"/>
  <c r="F94" i="23"/>
  <c r="C94" i="23"/>
  <c r="F93" i="23"/>
  <c r="D92" i="23"/>
  <c r="F91" i="23"/>
  <c r="F89" i="23"/>
  <c r="H77" i="23"/>
  <c r="E77" i="23"/>
  <c r="E76" i="23"/>
  <c r="D95" i="23" s="1"/>
  <c r="H75" i="23"/>
  <c r="E75" i="23"/>
  <c r="H74" i="23"/>
  <c r="E74" i="23"/>
  <c r="H72" i="23"/>
  <c r="H71" i="23"/>
  <c r="H70" i="23"/>
  <c r="H68" i="23"/>
  <c r="H67" i="23"/>
  <c r="H66" i="23"/>
  <c r="E66" i="23"/>
  <c r="E68" i="23" s="1"/>
  <c r="H64" i="23"/>
  <c r="E64" i="23"/>
  <c r="H63" i="23"/>
  <c r="H62" i="23"/>
  <c r="E62" i="23"/>
  <c r="H60" i="23"/>
  <c r="H59" i="23"/>
  <c r="E59" i="23"/>
  <c r="E58" i="23"/>
  <c r="H57" i="23"/>
  <c r="E57" i="23"/>
  <c r="C92" i="23" s="1"/>
  <c r="F92" i="23" s="1"/>
  <c r="H55" i="23"/>
  <c r="E55" i="23"/>
  <c r="E54" i="23"/>
  <c r="E53" i="23"/>
  <c r="E52" i="23"/>
  <c r="H51" i="23"/>
  <c r="E51" i="23"/>
  <c r="H49" i="23"/>
  <c r="H48" i="23"/>
  <c r="E48" i="23"/>
  <c r="E47" i="23"/>
  <c r="E46" i="23"/>
  <c r="H45" i="23"/>
  <c r="E45" i="23"/>
  <c r="E49" i="23" s="1"/>
  <c r="H41" i="23"/>
  <c r="E40" i="23"/>
  <c r="E39" i="23"/>
  <c r="E38" i="23"/>
  <c r="E37" i="23"/>
  <c r="E36" i="23"/>
  <c r="E35" i="23"/>
  <c r="E34" i="23"/>
  <c r="H33" i="23"/>
  <c r="E33" i="23"/>
  <c r="D90" i="23" s="1"/>
  <c r="H31" i="23"/>
  <c r="E28" i="23"/>
  <c r="E27" i="23"/>
  <c r="E26" i="23"/>
  <c r="E25" i="23"/>
  <c r="E24" i="23"/>
  <c r="E23" i="23"/>
  <c r="E22" i="23"/>
  <c r="C90" i="23" s="1"/>
  <c r="H21" i="23"/>
  <c r="E21" i="23"/>
  <c r="H20" i="23"/>
  <c r="E20" i="23"/>
  <c r="E31" i="23" s="1"/>
  <c r="H18" i="23"/>
  <c r="E17" i="23"/>
  <c r="E16" i="23"/>
  <c r="E15" i="23"/>
  <c r="E14" i="23"/>
  <c r="H13" i="23"/>
  <c r="E13" i="23"/>
  <c r="E18" i="23" s="1"/>
  <c r="B82" i="24" l="1"/>
  <c r="E59" i="24"/>
  <c r="F90" i="23"/>
  <c r="D98" i="23"/>
  <c r="E84" i="23"/>
  <c r="E60" i="23"/>
  <c r="E79" i="23" s="1"/>
  <c r="E82" i="23" s="1"/>
  <c r="E85" i="23" s="1"/>
  <c r="C95" i="23"/>
  <c r="F95" i="23" s="1"/>
  <c r="E41" i="23"/>
  <c r="I75" i="24" l="1"/>
  <c r="G59" i="24"/>
  <c r="E60" i="24"/>
  <c r="L59" i="24" s="1"/>
  <c r="B83" i="24"/>
  <c r="B84" i="24" s="1"/>
  <c r="B107" i="23"/>
  <c r="C98" i="23"/>
  <c r="I76" i="24" l="1"/>
  <c r="I77" i="24" l="1"/>
  <c r="F77" i="24"/>
  <c r="J71" i="24"/>
  <c r="J72" i="24"/>
  <c r="J69" i="24"/>
  <c r="G77" i="24"/>
  <c r="J68" i="24"/>
  <c r="C77" i="24"/>
  <c r="J74" i="24"/>
  <c r="H77" i="24"/>
  <c r="D77" i="24"/>
  <c r="J67" i="24"/>
  <c r="J70" i="24"/>
  <c r="E77" i="24"/>
  <c r="J73" i="24"/>
  <c r="B77" i="24"/>
  <c r="J75" i="24"/>
  <c r="B62" i="11"/>
  <c r="B60" i="11"/>
  <c r="B4" i="22" l="1"/>
  <c r="B90" i="18" l="1"/>
  <c r="J64" i="18"/>
  <c r="B89" i="18"/>
  <c r="E81" i="18"/>
  <c r="E78" i="18"/>
  <c r="E60" i="18"/>
  <c r="E59" i="18"/>
  <c r="E58" i="18"/>
  <c r="E57" i="18"/>
  <c r="E61" i="18" s="1"/>
  <c r="E56" i="18"/>
  <c r="E55" i="18"/>
  <c r="E54" i="18"/>
  <c r="F79" i="18" s="1"/>
  <c r="H53" i="18"/>
  <c r="E53" i="18"/>
  <c r="F78" i="18" s="1"/>
  <c r="F81" i="18" s="1"/>
  <c r="H51" i="18"/>
  <c r="E51" i="18"/>
  <c r="H50" i="18"/>
  <c r="E49" i="18"/>
  <c r="H47" i="18"/>
  <c r="H46" i="18"/>
  <c r="E46" i="18"/>
  <c r="E45" i="18"/>
  <c r="E44" i="18"/>
  <c r="E43" i="18"/>
  <c r="E42" i="18"/>
  <c r="E41" i="18"/>
  <c r="E40" i="18"/>
  <c r="E39" i="18"/>
  <c r="E38" i="18"/>
  <c r="E37" i="18"/>
  <c r="E36" i="18"/>
  <c r="E35" i="18"/>
  <c r="D78" i="18" s="1"/>
  <c r="E34" i="18"/>
  <c r="E33" i="18"/>
  <c r="E32" i="18"/>
  <c r="E31" i="18"/>
  <c r="D73" i="18" s="1"/>
  <c r="E30" i="18"/>
  <c r="E29" i="18"/>
  <c r="H28" i="18"/>
  <c r="E28" i="18"/>
  <c r="E47" i="18" s="1"/>
  <c r="H26" i="18"/>
  <c r="E25" i="18"/>
  <c r="E24" i="18"/>
  <c r="E23" i="18"/>
  <c r="E22" i="18"/>
  <c r="E21" i="18"/>
  <c r="C73" i="18" s="1"/>
  <c r="E20" i="18"/>
  <c r="E26" i="18" s="1"/>
  <c r="H18" i="18"/>
  <c r="H17" i="18"/>
  <c r="E17" i="18"/>
  <c r="E16" i="18"/>
  <c r="E15" i="18"/>
  <c r="E14" i="18"/>
  <c r="E18" i="18" s="1"/>
  <c r="H13" i="18"/>
  <c r="E13" i="18"/>
  <c r="B109" i="17"/>
  <c r="B108" i="17"/>
  <c r="J85" i="17"/>
  <c r="B107" i="17"/>
  <c r="E83" i="17"/>
  <c r="H81" i="17"/>
  <c r="H80" i="17"/>
  <c r="E79" i="17"/>
  <c r="E78" i="17"/>
  <c r="E77" i="17"/>
  <c r="E76" i="17"/>
  <c r="E75" i="17"/>
  <c r="E74" i="17"/>
  <c r="E73" i="17"/>
  <c r="E72" i="17"/>
  <c r="E71" i="17"/>
  <c r="E70" i="17"/>
  <c r="E69" i="17"/>
  <c r="H100" i="17" s="1"/>
  <c r="E68" i="17"/>
  <c r="E67" i="17"/>
  <c r="H99" i="17" s="1"/>
  <c r="E66" i="17"/>
  <c r="E65" i="17"/>
  <c r="H64" i="17"/>
  <c r="E64" i="17"/>
  <c r="E81" i="17" s="1"/>
  <c r="H62" i="17"/>
  <c r="H61" i="17"/>
  <c r="H59" i="17"/>
  <c r="E59" i="17"/>
  <c r="G100" i="17" s="1"/>
  <c r="G102" i="17" s="1"/>
  <c r="H57" i="17"/>
  <c r="E57" i="17"/>
  <c r="H55" i="17"/>
  <c r="H53" i="17"/>
  <c r="H52" i="17"/>
  <c r="E51" i="17"/>
  <c r="E99" i="17" s="1"/>
  <c r="E50" i="17"/>
  <c r="E49" i="17"/>
  <c r="E48" i="17"/>
  <c r="E47" i="17"/>
  <c r="E46" i="17"/>
  <c r="E100" i="17" s="1"/>
  <c r="E45" i="17"/>
  <c r="H44" i="17"/>
  <c r="E44" i="17"/>
  <c r="E53" i="17" s="1"/>
  <c r="H42" i="17"/>
  <c r="E40" i="17"/>
  <c r="E39" i="17"/>
  <c r="D100" i="17" s="1"/>
  <c r="E38" i="17"/>
  <c r="E37" i="17"/>
  <c r="E36" i="17"/>
  <c r="E35" i="17"/>
  <c r="E34" i="17"/>
  <c r="E33" i="17"/>
  <c r="E32" i="17"/>
  <c r="E31" i="17"/>
  <c r="E30" i="17"/>
  <c r="E29" i="17"/>
  <c r="E28" i="17"/>
  <c r="E27" i="17"/>
  <c r="E26" i="17"/>
  <c r="E25" i="17"/>
  <c r="D94" i="17" s="1"/>
  <c r="H24" i="17"/>
  <c r="E24" i="17"/>
  <c r="D99" i="17" s="1"/>
  <c r="I99" i="17" s="1"/>
  <c r="H22" i="17"/>
  <c r="H21" i="17"/>
  <c r="H20" i="17"/>
  <c r="E20" i="17"/>
  <c r="C100" i="17" s="1"/>
  <c r="H18" i="17"/>
  <c r="E16" i="17"/>
  <c r="E15" i="17"/>
  <c r="E14" i="17"/>
  <c r="H13" i="17"/>
  <c r="E13" i="17"/>
  <c r="E18" i="17" s="1"/>
  <c r="E64" i="18" l="1"/>
  <c r="B72" i="18"/>
  <c r="E62" i="18"/>
  <c r="E65" i="18" s="1"/>
  <c r="G73" i="18"/>
  <c r="D81" i="18"/>
  <c r="G78" i="18"/>
  <c r="C79" i="18"/>
  <c r="D79" i="18"/>
  <c r="I100" i="17"/>
  <c r="C102" i="17"/>
  <c r="B93" i="17"/>
  <c r="E85" i="17"/>
  <c r="D102" i="17"/>
  <c r="E94" i="17"/>
  <c r="E102" i="17" s="1"/>
  <c r="H94" i="17"/>
  <c r="H102" i="17" s="1"/>
  <c r="E22" i="17"/>
  <c r="E42" i="17"/>
  <c r="E62" i="17"/>
  <c r="E86" i="17" s="1"/>
  <c r="D72" i="18" l="1"/>
  <c r="F72" i="18"/>
  <c r="E72" i="18"/>
  <c r="B81" i="18"/>
  <c r="G81" i="18" s="1"/>
  <c r="C72" i="18"/>
  <c r="G80" i="18"/>
  <c r="G79" i="18"/>
  <c r="C81" i="18"/>
  <c r="I94" i="17"/>
  <c r="F93" i="17"/>
  <c r="I102" i="17"/>
  <c r="I103" i="17" s="1"/>
  <c r="E93" i="17"/>
  <c r="H93" i="17"/>
  <c r="D93" i="17"/>
  <c r="G93" i="17"/>
  <c r="C93" i="17"/>
  <c r="I93" i="17" l="1"/>
  <c r="B91" i="13" l="1"/>
  <c r="K70" i="13"/>
  <c r="E74" i="13"/>
  <c r="E18" i="13"/>
  <c r="E73" i="13" s="1"/>
  <c r="D84" i="13"/>
  <c r="D87" i="13" s="1"/>
  <c r="E67" i="13"/>
  <c r="H66" i="13"/>
  <c r="H65" i="13"/>
  <c r="H61" i="13"/>
  <c r="H59" i="13"/>
  <c r="H58" i="13"/>
  <c r="E57" i="13"/>
  <c r="E56" i="13"/>
  <c r="E55" i="13"/>
  <c r="E85" i="13" s="1"/>
  <c r="H54" i="13"/>
  <c r="E54" i="13"/>
  <c r="E84" i="13" s="1"/>
  <c r="E87" i="13" s="1"/>
  <c r="H52" i="13"/>
  <c r="E52" i="13"/>
  <c r="H51" i="13"/>
  <c r="H50" i="13"/>
  <c r="E50" i="13"/>
  <c r="H48" i="13"/>
  <c r="H47" i="13"/>
  <c r="E47" i="13"/>
  <c r="E46" i="13"/>
  <c r="E45" i="13"/>
  <c r="C85" i="13" s="1"/>
  <c r="G85" i="13" s="1"/>
  <c r="E44" i="13"/>
  <c r="E43" i="13"/>
  <c r="E42" i="13"/>
  <c r="E41" i="13"/>
  <c r="E40" i="13"/>
  <c r="E39" i="13"/>
  <c r="E38" i="13"/>
  <c r="E37" i="13"/>
  <c r="E36" i="13"/>
  <c r="E35" i="13"/>
  <c r="E34" i="13"/>
  <c r="E33" i="13"/>
  <c r="E32" i="13"/>
  <c r="E31" i="13"/>
  <c r="E30" i="13"/>
  <c r="E29" i="13"/>
  <c r="E28" i="13"/>
  <c r="E27" i="13"/>
  <c r="E26" i="13"/>
  <c r="E25" i="13"/>
  <c r="C84" i="13" s="1"/>
  <c r="E24" i="13"/>
  <c r="E23" i="13"/>
  <c r="E22" i="13"/>
  <c r="E21" i="13"/>
  <c r="C79" i="13" s="1"/>
  <c r="H20" i="13"/>
  <c r="E20" i="13"/>
  <c r="H18" i="13"/>
  <c r="H17" i="13"/>
  <c r="E17" i="13"/>
  <c r="E16" i="13"/>
  <c r="E15" i="13"/>
  <c r="E14" i="13"/>
  <c r="H13" i="13"/>
  <c r="E13" i="13"/>
  <c r="G79" i="13" l="1"/>
  <c r="C87" i="13"/>
  <c r="G84" i="13"/>
  <c r="E68" i="13"/>
  <c r="B78" i="13"/>
  <c r="E48" i="13"/>
  <c r="E59" i="13"/>
  <c r="B78" i="15"/>
  <c r="E50" i="15"/>
  <c r="E31" i="15"/>
  <c r="E42" i="15"/>
  <c r="E41" i="15"/>
  <c r="E27" i="15"/>
  <c r="E23" i="15"/>
  <c r="E19" i="15"/>
  <c r="H49" i="15"/>
  <c r="H44" i="15"/>
  <c r="E44" i="15"/>
  <c r="H42" i="15"/>
  <c r="H41" i="15"/>
  <c r="H40" i="15"/>
  <c r="H37" i="15"/>
  <c r="H34" i="15"/>
  <c r="H33" i="15"/>
  <c r="H31" i="15"/>
  <c r="H30" i="15"/>
  <c r="H29" i="15"/>
  <c r="H27" i="15"/>
  <c r="H26" i="15"/>
  <c r="H25" i="15"/>
  <c r="H23" i="15"/>
  <c r="H22" i="15"/>
  <c r="H21" i="15"/>
  <c r="H19" i="15"/>
  <c r="H18" i="15"/>
  <c r="H17" i="15"/>
  <c r="H15" i="15"/>
  <c r="H14" i="15"/>
  <c r="H13" i="15"/>
  <c r="B87" i="13" l="1"/>
  <c r="C78" i="13"/>
  <c r="E78" i="13"/>
  <c r="D78" i="13"/>
  <c r="E70" i="13"/>
  <c r="E71" i="13" s="1"/>
  <c r="G87" i="13" l="1"/>
  <c r="J93" i="9"/>
  <c r="B92" i="9"/>
  <c r="J69" i="9"/>
  <c r="H77" i="9"/>
  <c r="J47" i="9"/>
  <c r="E49" i="9"/>
  <c r="E54" i="9"/>
  <c r="E46" i="9"/>
  <c r="E47" i="9"/>
  <c r="E48" i="9"/>
  <c r="G123" i="21" l="1"/>
  <c r="G122" i="21"/>
  <c r="G119" i="21"/>
  <c r="G117" i="21"/>
  <c r="E99" i="21"/>
  <c r="E98" i="21"/>
  <c r="E97" i="21"/>
  <c r="E96" i="21"/>
  <c r="E101" i="21" s="1"/>
  <c r="E95" i="21"/>
  <c r="E94" i="21"/>
  <c r="F118" i="21" s="1"/>
  <c r="G118" i="21" s="1"/>
  <c r="E91" i="21"/>
  <c r="E92" i="21" s="1"/>
  <c r="E88" i="21"/>
  <c r="E89" i="21" s="1"/>
  <c r="E85" i="21"/>
  <c r="E84" i="21"/>
  <c r="E83" i="21"/>
  <c r="E82" i="21"/>
  <c r="E81" i="21"/>
  <c r="E86" i="21" s="1"/>
  <c r="E80" i="21"/>
  <c r="E77" i="21"/>
  <c r="E76" i="21"/>
  <c r="E78" i="21" s="1"/>
  <c r="E75" i="21"/>
  <c r="E72" i="21"/>
  <c r="E71" i="21"/>
  <c r="E70" i="21"/>
  <c r="E69" i="21"/>
  <c r="D68" i="21"/>
  <c r="E68" i="21" s="1"/>
  <c r="E67" i="21"/>
  <c r="E66" i="21"/>
  <c r="D66" i="21"/>
  <c r="E65" i="21"/>
  <c r="E73" i="21" s="1"/>
  <c r="E62" i="21"/>
  <c r="E61" i="21"/>
  <c r="E60" i="21"/>
  <c r="E59" i="21"/>
  <c r="E63" i="21" s="1"/>
  <c r="E56" i="21"/>
  <c r="E55" i="21"/>
  <c r="E54" i="21"/>
  <c r="E53" i="21"/>
  <c r="E57" i="21" s="1"/>
  <c r="E52" i="21"/>
  <c r="E49" i="21"/>
  <c r="E48" i="21"/>
  <c r="D48" i="21"/>
  <c r="E47" i="21"/>
  <c r="E50" i="21" s="1"/>
  <c r="H46" i="21"/>
  <c r="E46" i="21"/>
  <c r="H44" i="21"/>
  <c r="H43" i="21"/>
  <c r="E43" i="21"/>
  <c r="E42" i="21"/>
  <c r="E41" i="21"/>
  <c r="E40" i="21"/>
  <c r="E39" i="21"/>
  <c r="D39" i="21"/>
  <c r="E38" i="21"/>
  <c r="D37" i="21"/>
  <c r="E37" i="21" s="1"/>
  <c r="H36" i="21"/>
  <c r="E36" i="21"/>
  <c r="H34" i="21"/>
  <c r="E33" i="21"/>
  <c r="E32" i="21"/>
  <c r="E31" i="21"/>
  <c r="E30" i="21"/>
  <c r="H29" i="21"/>
  <c r="E29" i="21"/>
  <c r="E34" i="21" s="1"/>
  <c r="H27" i="21"/>
  <c r="E26" i="21"/>
  <c r="F120" i="21" s="1"/>
  <c r="G120" i="21" s="1"/>
  <c r="H25" i="21"/>
  <c r="E25" i="21"/>
  <c r="E24" i="21"/>
  <c r="E27" i="21" s="1"/>
  <c r="E23" i="21"/>
  <c r="H22" i="21"/>
  <c r="E22" i="21"/>
  <c r="H20" i="21"/>
  <c r="H19" i="21"/>
  <c r="E19" i="21"/>
  <c r="E18" i="21"/>
  <c r="B121" i="21" s="1"/>
  <c r="D17" i="21"/>
  <c r="E17" i="21" s="1"/>
  <c r="C17" i="21"/>
  <c r="D16" i="21"/>
  <c r="C16" i="21"/>
  <c r="E16" i="21" s="1"/>
  <c r="D15" i="21"/>
  <c r="C15" i="21"/>
  <c r="E15" i="21" s="1"/>
  <c r="E14" i="21"/>
  <c r="D14" i="21"/>
  <c r="C14" i="21"/>
  <c r="H13" i="21"/>
  <c r="B115" i="21" l="1"/>
  <c r="F121" i="21"/>
  <c r="G121" i="21" s="1"/>
  <c r="E44" i="21"/>
  <c r="E111" i="21" s="1"/>
  <c r="E20" i="21"/>
  <c r="F116" i="21"/>
  <c r="F124" i="21" l="1"/>
  <c r="G116" i="21"/>
  <c r="E110" i="21"/>
  <c r="E105" i="21"/>
  <c r="E108" i="21" s="1"/>
  <c r="G115" i="21"/>
  <c r="B124" i="21"/>
  <c r="H122" i="21" l="1"/>
  <c r="H123" i="21"/>
  <c r="H117" i="21"/>
  <c r="H118" i="21"/>
  <c r="H119" i="21"/>
  <c r="H120" i="21"/>
  <c r="F125" i="21"/>
  <c r="H121" i="21"/>
  <c r="G124" i="21"/>
  <c r="B125" i="21"/>
  <c r="B133" i="21"/>
  <c r="H115" i="21"/>
  <c r="H116" i="21"/>
  <c r="B67" i="12" l="1"/>
  <c r="B62" i="12" l="1"/>
  <c r="E41" i="12"/>
  <c r="E39" i="12"/>
  <c r="O72" i="10" l="1"/>
  <c r="O81" i="10"/>
  <c r="O78" i="10"/>
  <c r="N81" i="10"/>
  <c r="N72" i="10"/>
  <c r="B79" i="10"/>
  <c r="B72" i="10"/>
  <c r="C81" i="10"/>
  <c r="D81" i="10"/>
  <c r="E81" i="10"/>
  <c r="F81" i="10"/>
  <c r="G81" i="10"/>
  <c r="H81" i="10"/>
  <c r="I81" i="10"/>
  <c r="J81" i="10"/>
  <c r="K81" i="10"/>
  <c r="L81" i="10"/>
  <c r="M81" i="10"/>
  <c r="B81" i="10"/>
  <c r="J78" i="10"/>
  <c r="H78" i="10"/>
  <c r="F78" i="10"/>
  <c r="D78" i="10"/>
  <c r="H61" i="10"/>
  <c r="H60" i="10"/>
  <c r="E60" i="10"/>
  <c r="H59" i="10"/>
  <c r="E59" i="10"/>
  <c r="E61" i="10" s="1"/>
  <c r="H57" i="10"/>
  <c r="H56" i="10"/>
  <c r="E56" i="10"/>
  <c r="H55" i="10"/>
  <c r="E55" i="10"/>
  <c r="E57" i="10" s="1"/>
  <c r="L78" i="10" s="1"/>
  <c r="H54" i="10"/>
  <c r="E54" i="10"/>
  <c r="H52" i="10"/>
  <c r="H51" i="10"/>
  <c r="E51" i="10"/>
  <c r="H50" i="10"/>
  <c r="E50" i="10"/>
  <c r="E52" i="10" s="1"/>
  <c r="K78" i="10" s="1"/>
  <c r="H49" i="10"/>
  <c r="E49" i="10"/>
  <c r="H47" i="10"/>
  <c r="E47" i="10"/>
  <c r="H46" i="10"/>
  <c r="E46" i="10"/>
  <c r="H44" i="10"/>
  <c r="E44" i="10"/>
  <c r="I78" i="10" s="1"/>
  <c r="H43" i="10"/>
  <c r="E43" i="10"/>
  <c r="H41" i="10"/>
  <c r="E41" i="10"/>
  <c r="H40" i="10"/>
  <c r="E40" i="10"/>
  <c r="H38" i="10"/>
  <c r="E38" i="10"/>
  <c r="G78" i="10" s="1"/>
  <c r="H37" i="10"/>
  <c r="E37" i="10"/>
  <c r="H35" i="10"/>
  <c r="E35" i="10"/>
  <c r="H34" i="10"/>
  <c r="E34" i="10"/>
  <c r="H32" i="10"/>
  <c r="E32" i="10"/>
  <c r="E78" i="10" s="1"/>
  <c r="H31" i="10"/>
  <c r="E31" i="10"/>
  <c r="H29" i="10"/>
  <c r="E29" i="10"/>
  <c r="H28" i="10"/>
  <c r="E28" i="10"/>
  <c r="H26" i="10"/>
  <c r="H25" i="10"/>
  <c r="E25" i="10"/>
  <c r="H24" i="10"/>
  <c r="E24" i="10"/>
  <c r="E26" i="10" s="1"/>
  <c r="C78" i="10" s="1"/>
  <c r="H22" i="10"/>
  <c r="E21" i="10"/>
  <c r="E20" i="10"/>
  <c r="E19" i="10"/>
  <c r="E18" i="10"/>
  <c r="E17" i="10"/>
  <c r="E16" i="10"/>
  <c r="E15" i="10"/>
  <c r="H14" i="10"/>
  <c r="E14" i="10"/>
  <c r="H13" i="10"/>
  <c r="E13" i="10"/>
  <c r="E22" i="10" s="1"/>
  <c r="E62" i="10" l="1"/>
  <c r="M78" i="10"/>
  <c r="B91" i="10"/>
  <c r="E67" i="10"/>
  <c r="N78" i="10"/>
  <c r="B79" i="14"/>
  <c r="J57" i="14"/>
  <c r="E68" i="10" l="1"/>
  <c r="E65" i="10"/>
  <c r="N79" i="10"/>
  <c r="B93" i="10"/>
  <c r="L82" i="10" l="1"/>
  <c r="H82" i="10"/>
  <c r="D82" i="10"/>
  <c r="K82" i="10"/>
  <c r="G82" i="10"/>
  <c r="C82" i="10"/>
  <c r="I82" i="10"/>
  <c r="N82" i="10"/>
  <c r="J82" i="10"/>
  <c r="F82" i="10"/>
  <c r="M82" i="10"/>
  <c r="E82" i="10"/>
  <c r="B82" i="10"/>
  <c r="B91" i="18" l="1"/>
  <c r="O79" i="10"/>
  <c r="B80" i="14"/>
  <c r="B78" i="14"/>
  <c r="B92" i="13"/>
  <c r="B93" i="13" s="1"/>
  <c r="E61" i="12"/>
  <c r="D61" i="12"/>
  <c r="C61" i="12"/>
  <c r="B61" i="12"/>
  <c r="C2" i="22" l="1"/>
  <c r="G52" i="11"/>
  <c r="H51" i="11"/>
  <c r="H50" i="11"/>
  <c r="H49" i="11"/>
  <c r="H48" i="11"/>
  <c r="H47" i="11"/>
  <c r="H46" i="11"/>
  <c r="H45" i="11"/>
  <c r="H44" i="11"/>
  <c r="H43" i="11"/>
  <c r="G53" i="11"/>
  <c r="F53" i="11"/>
  <c r="E53" i="11"/>
  <c r="D53" i="11"/>
  <c r="C53" i="11"/>
  <c r="B53" i="11"/>
  <c r="C52" i="11"/>
  <c r="D52" i="11"/>
  <c r="E52" i="11"/>
  <c r="F52" i="11"/>
  <c r="B52" i="11"/>
  <c r="C4" i="22" l="1"/>
  <c r="C5" i="22" s="1"/>
  <c r="D2" i="22"/>
  <c r="D4" i="22" s="1"/>
  <c r="D5" i="22" s="1"/>
  <c r="J86" i="9"/>
  <c r="I86" i="9"/>
  <c r="H86" i="9"/>
  <c r="G86" i="9"/>
  <c r="F86" i="9"/>
  <c r="E86" i="9"/>
  <c r="D86" i="9"/>
  <c r="C86" i="9"/>
  <c r="B86" i="9"/>
  <c r="K85" i="9"/>
  <c r="K84" i="9"/>
  <c r="K83" i="9"/>
  <c r="K82" i="9"/>
  <c r="K81" i="9"/>
  <c r="K80" i="9"/>
  <c r="K79" i="9"/>
  <c r="K78" i="9"/>
  <c r="K77" i="9"/>
  <c r="H66" i="9"/>
  <c r="E65" i="9"/>
  <c r="E64" i="9"/>
  <c r="E63" i="9"/>
  <c r="E62" i="9"/>
  <c r="E61" i="9"/>
  <c r="E60" i="9"/>
  <c r="E59" i="9"/>
  <c r="E58" i="9"/>
  <c r="E57" i="9"/>
  <c r="E66" i="9" s="1"/>
  <c r="H56" i="9"/>
  <c r="E56" i="9"/>
  <c r="H54" i="9"/>
  <c r="E53" i="9"/>
  <c r="E52" i="9"/>
  <c r="H51" i="9"/>
  <c r="E51" i="9"/>
  <c r="E45" i="9"/>
  <c r="H44" i="9"/>
  <c r="E44" i="9"/>
  <c r="E42" i="9"/>
  <c r="E41" i="9"/>
  <c r="H38" i="9"/>
  <c r="E38" i="9"/>
  <c r="E37" i="9"/>
  <c r="H36" i="9"/>
  <c r="E36" i="9"/>
  <c r="H34" i="9"/>
  <c r="H33" i="9"/>
  <c r="E33" i="9"/>
  <c r="E32" i="9"/>
  <c r="E31" i="9"/>
  <c r="E30" i="9"/>
  <c r="E29" i="9"/>
  <c r="H28" i="9"/>
  <c r="E28" i="9"/>
  <c r="H26" i="9"/>
  <c r="H25" i="9"/>
  <c r="E25" i="9"/>
  <c r="E26" i="9" s="1"/>
  <c r="H23" i="9"/>
  <c r="E23" i="9"/>
  <c r="H22" i="9"/>
  <c r="E22" i="9"/>
  <c r="H20" i="9"/>
  <c r="E19" i="9"/>
  <c r="E18" i="9"/>
  <c r="E17" i="9"/>
  <c r="E16" i="9"/>
  <c r="E15" i="9"/>
  <c r="H14" i="9"/>
  <c r="E14" i="9"/>
  <c r="H13" i="9"/>
  <c r="E13" i="9"/>
  <c r="B5" i="22" l="1"/>
  <c r="K86" i="9"/>
  <c r="L78" i="9" s="1"/>
  <c r="E20" i="9"/>
  <c r="E34" i="9"/>
  <c r="E39" i="9"/>
  <c r="E67" i="9" s="1"/>
  <c r="B87" i="9"/>
  <c r="E73" i="9"/>
  <c r="E72" i="9"/>
  <c r="H87" i="9"/>
  <c r="C87" i="9"/>
  <c r="L81" i="9"/>
  <c r="L79" i="9"/>
  <c r="L82" i="9" l="1"/>
  <c r="I87" i="9"/>
  <c r="L83" i="9"/>
  <c r="D87" i="9"/>
  <c r="J87" i="9"/>
  <c r="L84" i="9"/>
  <c r="L77" i="9"/>
  <c r="L85" i="9"/>
  <c r="G87" i="9"/>
  <c r="F87" i="9"/>
  <c r="L80" i="9"/>
  <c r="B93" i="9"/>
  <c r="E70" i="9"/>
  <c r="K87" i="9" l="1"/>
  <c r="B94" i="9"/>
  <c r="F72" i="14" l="1"/>
  <c r="C72" i="14"/>
  <c r="B72" i="14"/>
  <c r="G71" i="14"/>
  <c r="F71" i="14"/>
  <c r="E71" i="14"/>
  <c r="E72" i="14" s="1"/>
  <c r="D71" i="14"/>
  <c r="D72" i="14" s="1"/>
  <c r="C71" i="14"/>
  <c r="B71" i="14"/>
  <c r="H70" i="14"/>
  <c r="H69" i="14"/>
  <c r="H68" i="14"/>
  <c r="H67" i="14"/>
  <c r="H66" i="14"/>
  <c r="H65" i="14"/>
  <c r="H64" i="14"/>
  <c r="H63" i="14"/>
  <c r="H62" i="14"/>
  <c r="H48" i="14"/>
  <c r="H45" i="14"/>
  <c r="H42" i="14"/>
  <c r="E41" i="14"/>
  <c r="E40" i="14"/>
  <c r="E39" i="14"/>
  <c r="E38" i="14"/>
  <c r="E37" i="14"/>
  <c r="E36" i="14"/>
  <c r="E35" i="14"/>
  <c r="E34" i="14"/>
  <c r="E33" i="14"/>
  <c r="E32" i="14"/>
  <c r="E31" i="14"/>
  <c r="E30" i="14"/>
  <c r="E29" i="14"/>
  <c r="E42" i="14" s="1"/>
  <c r="H28" i="14"/>
  <c r="E28" i="14"/>
  <c r="H26" i="14"/>
  <c r="E22" i="14"/>
  <c r="E21" i="14"/>
  <c r="E20" i="14"/>
  <c r="E19" i="14"/>
  <c r="E18" i="14"/>
  <c r="E17" i="14"/>
  <c r="E16" i="14"/>
  <c r="E15" i="14"/>
  <c r="E14" i="14"/>
  <c r="E26" i="14" s="1"/>
  <c r="H13" i="14"/>
  <c r="E13" i="14"/>
  <c r="G72" i="14" l="1"/>
  <c r="G59" i="12" l="1"/>
  <c r="G58" i="12"/>
  <c r="G57" i="12"/>
  <c r="G55" i="12"/>
  <c r="G54" i="12"/>
  <c r="G53" i="12"/>
  <c r="F60" i="12"/>
  <c r="H39" i="12"/>
  <c r="H38" i="12"/>
  <c r="H36" i="12"/>
  <c r="E36" i="12"/>
  <c r="H35" i="12"/>
  <c r="E35" i="12"/>
  <c r="E37" i="12" s="1"/>
  <c r="E56" i="12" s="1"/>
  <c r="E34" i="12"/>
  <c r="E33" i="12"/>
  <c r="H32" i="12"/>
  <c r="E31" i="12"/>
  <c r="D60" i="12" s="1"/>
  <c r="H30" i="12"/>
  <c r="H29" i="12"/>
  <c r="H27" i="12"/>
  <c r="H26" i="12"/>
  <c r="E26" i="12"/>
  <c r="E25" i="12"/>
  <c r="E24" i="12"/>
  <c r="E23" i="12"/>
  <c r="E22" i="12"/>
  <c r="E21" i="12"/>
  <c r="E20" i="12"/>
  <c r="E19" i="12"/>
  <c r="E18" i="12"/>
  <c r="H17" i="12"/>
  <c r="E17" i="12"/>
  <c r="E27" i="12" s="1"/>
  <c r="H15" i="12"/>
  <c r="E15" i="12"/>
  <c r="E47" i="12" s="1"/>
  <c r="H14" i="12"/>
  <c r="H13" i="12"/>
  <c r="F61" i="12" l="1"/>
  <c r="G61" i="12" s="1"/>
  <c r="G60" i="12"/>
  <c r="B68" i="12" s="1"/>
  <c r="D62" i="12"/>
  <c r="D63" i="12" s="1"/>
  <c r="E62" i="12"/>
  <c r="E63" i="12" s="1"/>
  <c r="C56" i="12"/>
  <c r="E42" i="12"/>
  <c r="E44" i="12" s="1"/>
  <c r="B63" i="12"/>
  <c r="J44" i="12" l="1"/>
  <c r="F62" i="12"/>
  <c r="F63" i="12" s="1"/>
  <c r="G56" i="12"/>
  <c r="E45" i="12" l="1"/>
  <c r="E48" i="12" s="1"/>
  <c r="C62" i="12"/>
  <c r="E38" i="11"/>
  <c r="H31" i="11"/>
  <c r="H30" i="11"/>
  <c r="H28" i="11"/>
  <c r="H27" i="11"/>
  <c r="H26" i="11"/>
  <c r="H24" i="11"/>
  <c r="E24" i="11"/>
  <c r="H23" i="11"/>
  <c r="H22" i="11"/>
  <c r="H20" i="11"/>
  <c r="E17" i="11"/>
  <c r="H17" i="11" s="1"/>
  <c r="H16" i="11"/>
  <c r="E16" i="11"/>
  <c r="E20" i="11" s="1"/>
  <c r="E39" i="11" s="1"/>
  <c r="H14" i="11"/>
  <c r="E14" i="11"/>
  <c r="H13" i="11"/>
  <c r="B69" i="12" l="1"/>
  <c r="C63" i="12"/>
  <c r="G63" i="12" s="1"/>
  <c r="G62" i="12"/>
  <c r="E33" i="11"/>
  <c r="E36" i="11" s="1"/>
  <c r="H53" i="12" l="1"/>
  <c r="H54" i="12"/>
  <c r="H57" i="12"/>
  <c r="H59" i="12"/>
  <c r="H55" i="12"/>
  <c r="H58" i="12"/>
  <c r="H60" i="12"/>
  <c r="H61" i="12"/>
  <c r="H56" i="12"/>
</calcChain>
</file>

<file path=xl/sharedStrings.xml><?xml version="1.0" encoding="utf-8"?>
<sst xmlns="http://schemas.openxmlformats.org/spreadsheetml/2006/main" count="2304" uniqueCount="799">
  <si>
    <t>Unit</t>
  </si>
  <si>
    <t xml:space="preserve">Comments/additional information </t>
  </si>
  <si>
    <t>Project grant rate:</t>
  </si>
  <si>
    <t xml:space="preserve">Total 1.1: </t>
  </si>
  <si>
    <t>Total 1.2:</t>
  </si>
  <si>
    <t xml:space="preserve">Total 1.3: </t>
  </si>
  <si>
    <t xml:space="preserve">Total 1.4: </t>
  </si>
  <si>
    <t>Programme:</t>
  </si>
  <si>
    <t>Project Promoter:</t>
  </si>
  <si>
    <t>Project duration:</t>
  </si>
  <si>
    <t>Type of expenditure</t>
  </si>
  <si>
    <t>Total 1:</t>
  </si>
  <si>
    <r>
      <t xml:space="preserve">2. INDIRECT COSTS - </t>
    </r>
    <r>
      <rPr>
        <b/>
        <i/>
        <sz val="8"/>
        <color rgb="FFFFFFFF"/>
        <rFont val="Calibri"/>
        <family val="2"/>
        <scheme val="minor"/>
      </rPr>
      <t>Reg. Art. 8.5</t>
    </r>
  </si>
  <si>
    <t>Total 2:</t>
  </si>
  <si>
    <t>Number of units 
(a)</t>
  </si>
  <si>
    <t>Project title:</t>
  </si>
  <si>
    <t>Total project cost:</t>
  </si>
  <si>
    <t>5.1 Template for the PDP cost (budget)</t>
  </si>
  <si>
    <t>Total cost (€) 
(a) x (b)</t>
  </si>
  <si>
    <r>
      <t>Total project management cost (</t>
    </r>
    <r>
      <rPr>
        <b/>
        <sz val="8"/>
        <color rgb="FF1F497D"/>
        <rFont val="Calibri"/>
        <family val="2"/>
      </rPr>
      <t>€):</t>
    </r>
  </si>
  <si>
    <t>Total output related cost  (€):</t>
  </si>
  <si>
    <r>
      <t>1. DIRECT EXPENDITURES -</t>
    </r>
    <r>
      <rPr>
        <b/>
        <i/>
        <sz val="8"/>
        <color rgb="FFFFFFFF"/>
        <rFont val="Calibri"/>
        <family val="2"/>
        <scheme val="minor"/>
      </rPr>
      <t xml:space="preserve"> Reg. Art. 8.2 &amp; Art. 8.3</t>
    </r>
  </si>
  <si>
    <t>TOTAL PDP COST (1 + 2):</t>
  </si>
  <si>
    <t>Unit price (€) 
(b)</t>
  </si>
  <si>
    <t>Project management</t>
  </si>
  <si>
    <t>TOTAL ELIGIBLE BUDGET HEADING COSTS</t>
  </si>
  <si>
    <t>% TOTAL ELIGIBLE COSTS</t>
  </si>
  <si>
    <t>Management cost</t>
  </si>
  <si>
    <t>Output/Activity 1</t>
  </si>
  <si>
    <t>Output/Activity 2</t>
  </si>
  <si>
    <t>Output/Activity 3</t>
  </si>
  <si>
    <t>Output/Activity ….</t>
  </si>
  <si>
    <t>INDIRECT COSTS - Reg. Art. 8.5</t>
  </si>
  <si>
    <t>TOTAL ELIGIBLE  COSTS</t>
  </si>
  <si>
    <t>% TOTAL PDP COSTS</t>
  </si>
  <si>
    <t xml:space="preserve">                                                                                            Output / Activity
Budget Heading</t>
  </si>
  <si>
    <t>Guidance</t>
  </si>
  <si>
    <t>If lump sums, include a reference to the defined rules approved by the PO.</t>
  </si>
  <si>
    <t xml:space="preserve">Refer to a document confirming that the PO determined the equipment as integral and necessary for achieving the outcomes of the PDP. </t>
  </si>
  <si>
    <t>Awarding should comply with the applicable rules on public procurement  (Regulations Art. 8.15).</t>
  </si>
  <si>
    <t>A method applied i.e. Art. 8.5.1 (a), (b), (c), (d) or (e) should be indicated here.</t>
  </si>
  <si>
    <t>Include a reference to the relevant article of the project contract.
Examples of costs: information/publicity, translations, specific evaluation, audits, charges for financial transactions, etc.</t>
  </si>
  <si>
    <r>
      <t xml:space="preserve">Cost of staff assigned to the project - </t>
    </r>
    <r>
      <rPr>
        <i/>
        <sz val="8"/>
        <color rgb="FF1F497D"/>
        <rFont val="Calibri"/>
        <family val="2"/>
        <scheme val="minor"/>
      </rPr>
      <t>Reg. Art. 8.3.1.a</t>
    </r>
  </si>
  <si>
    <r>
      <t xml:space="preserve">Travel and subsistence allowances for staff - </t>
    </r>
    <r>
      <rPr>
        <i/>
        <sz val="8"/>
        <color rgb="FF1F497D"/>
        <rFont val="Calibri"/>
        <family val="2"/>
        <scheme val="minor"/>
      </rPr>
      <t>Reg. Art. 8.3.1.b</t>
    </r>
  </si>
  <si>
    <r>
      <t xml:space="preserve">Depreciation value for new or second hand equipment purchased - </t>
    </r>
    <r>
      <rPr>
        <i/>
        <sz val="8"/>
        <color rgb="FF1F497D"/>
        <rFont val="Calibri"/>
        <family val="2"/>
        <scheme val="minor"/>
      </rPr>
      <t xml:space="preserve">Reg. Art. 8.2.4 </t>
    </r>
  </si>
  <si>
    <r>
      <t xml:space="preserve">Cost of new or second hand equipment - </t>
    </r>
    <r>
      <rPr>
        <i/>
        <sz val="8"/>
        <color rgb="FF1F497D"/>
        <rFont val="Calibri"/>
        <family val="2"/>
        <scheme val="minor"/>
      </rPr>
      <t>Reg. Art. 8.3.1.c &amp; Art. 8.3.2</t>
    </r>
  </si>
  <si>
    <r>
      <t xml:space="preserve">Purchase of land and real estate - </t>
    </r>
    <r>
      <rPr>
        <i/>
        <sz val="8"/>
        <color rgb="FF1F497D"/>
        <rFont val="Calibri"/>
        <family val="2"/>
        <scheme val="minor"/>
      </rPr>
      <t>Reg. Art. 8.3.1.d &amp; Art. 8.6</t>
    </r>
  </si>
  <si>
    <r>
      <t xml:space="preserve">Costs of consumables and supplies - </t>
    </r>
    <r>
      <rPr>
        <i/>
        <sz val="8"/>
        <color rgb="FF1F497D"/>
        <rFont val="Calibri"/>
        <family val="2"/>
        <scheme val="minor"/>
      </rPr>
      <t>Reg. Art. 8.3.1.e</t>
    </r>
  </si>
  <si>
    <r>
      <t xml:space="preserve">Costs entailed by other contracts awarded by PP for the purpose of carrying out the project - </t>
    </r>
    <r>
      <rPr>
        <i/>
        <sz val="8"/>
        <color rgb="FF1F497D"/>
        <rFont val="Calibri"/>
        <family val="2"/>
        <scheme val="minor"/>
      </rPr>
      <t xml:space="preserve">Reg. Art. 8.3.1.f </t>
    </r>
  </si>
  <si>
    <r>
      <t xml:space="preserve">Costs arising directly from requirements imposed by the project contract - </t>
    </r>
    <r>
      <rPr>
        <i/>
        <sz val="8"/>
        <color rgb="FF1F497D"/>
        <rFont val="Calibri"/>
        <family val="2"/>
        <scheme val="minor"/>
      </rPr>
      <t>Reg. Art. 8.3.1.g</t>
    </r>
  </si>
  <si>
    <t>Cost of staff assigned to the project - Reg. Art. 8.3.1.a</t>
  </si>
  <si>
    <t>Travel and subsistence allowances for staff - Reg. Art. 8.3.1.b</t>
  </si>
  <si>
    <t xml:space="preserve">Depreciation value for new or second hand equipment purchased - Reg. Art. 8.2.4 </t>
  </si>
  <si>
    <t>Cost of new or second hand equipment - Reg. Art. 8.3.1.c &amp; Art. 8.3.2</t>
  </si>
  <si>
    <t>Purchase of land and real estate - Reg. Art. 8.3.1.d &amp; Art. 8.6</t>
  </si>
  <si>
    <t>Costs of consumables and supplies - Reg. Art. 8.3.1.e</t>
  </si>
  <si>
    <t xml:space="preserve">Costs entailed by other contracts awarded by PP for the purpose of carrying out the project - Reg. Art. 8.3.1.f </t>
  </si>
  <si>
    <t>Costs arising directly from requirements imposed by the project contract - Reg. Art. 8.3.1.g</t>
  </si>
  <si>
    <t>PDP 1 Establishing an Interim Care Facility for unaccompanied minors (UAM)</t>
  </si>
  <si>
    <t>State Agency for Child Protection (SACP)</t>
  </si>
  <si>
    <t>60 months</t>
  </si>
  <si>
    <t>A Steering group composed by representatives of the child protection stakeholders will be established to advocate for the adoption of the legal provisions for guardianship, to monitor and evaluate the project progress with regards a launch of a sustainable mechanism for provision of care and services for UASC as an integral part of the System for Child Protection, incl. guardianship and legal representation procedures Proposals developed for: a referral mechanism, a procedural guideline for identification and financial standards of the service</t>
  </si>
  <si>
    <t xml:space="preserve">Output / Activity  1       1.1 Support for the establishment, running costs and provision of an Interim Care Facility and support to UAMs. </t>
  </si>
  <si>
    <t>Output / Activity  2  1.2 Providing social, health and educational services to the UAMs accommodated in the facility Trainings of staff of the facility, selection criteria for staff recruitment</t>
  </si>
  <si>
    <t>Output / Activity  3 Proposals developed for: a referral mechanism, a procedural guideline for identification and financial standards of the service</t>
  </si>
  <si>
    <t>contract</t>
  </si>
  <si>
    <t>hours</t>
  </si>
  <si>
    <t>Facility director</t>
  </si>
  <si>
    <t>months</t>
  </si>
  <si>
    <t>Householder</t>
  </si>
  <si>
    <t>Interpreters</t>
  </si>
  <si>
    <t>manmonths</t>
  </si>
  <si>
    <t>Security 24 hours - persons and surveilance</t>
  </si>
  <si>
    <t>Cleaner - 3 persons</t>
  </si>
  <si>
    <t>Field visits , fuel, per diems, accommodation</t>
  </si>
  <si>
    <t>lump</t>
  </si>
  <si>
    <t>car</t>
  </si>
  <si>
    <t>Food catering</t>
  </si>
  <si>
    <t>Van</t>
  </si>
  <si>
    <t>Fuel, car maintenance, insurances</t>
  </si>
  <si>
    <t>Bedding items</t>
  </si>
  <si>
    <t>year</t>
  </si>
  <si>
    <t>Nurse- 2 persons</t>
  </si>
  <si>
    <t>Psychologist - 2 persons</t>
  </si>
  <si>
    <t>Procurement expert and legal adviser</t>
  </si>
  <si>
    <t>Renovation, equipment and furniture of the building  assigned for interim care facility</t>
  </si>
  <si>
    <t>Establishment of gidelines for admission procedure of UASC</t>
  </si>
  <si>
    <t>Steering group of experts for methodology for provision of social, health and educational services</t>
  </si>
  <si>
    <t>Steering group of experts for case management for UASC with regards to best interest determination</t>
  </si>
  <si>
    <t>Initial training of  staff - training fees</t>
  </si>
  <si>
    <t>Initial training of  staff accommodation, FB training hall, materials, transport</t>
  </si>
  <si>
    <t>Construction supervision- BRC</t>
  </si>
  <si>
    <t>PR events, visibility, press conferences, round tables</t>
  </si>
  <si>
    <t>man months</t>
  </si>
  <si>
    <t>Stationery, office consumables and other</t>
  </si>
  <si>
    <t>Running costs - electricity, heating, communication costs, water etc., santary consumables, staff  insurances, transport cost staff</t>
  </si>
  <si>
    <t>Appointed by SACP.</t>
  </si>
  <si>
    <t>Appointed by BRC.</t>
  </si>
  <si>
    <t>To be implemented on a regular basis from Sofia to Voneshta voda village, Veliko Tarnovo region and when required from Sofia to Veliko Tarnovo</t>
  </si>
  <si>
    <t>Monitoring of the building renovation progress and ensuring the relevant documentation in place.</t>
  </si>
  <si>
    <t xml:space="preserve">A group of experts from relevant  authorities will develop guidelines for the admission procedures of UASC  in the facility. </t>
  </si>
  <si>
    <t>Contractual service according  to the legal procedures</t>
  </si>
  <si>
    <t>Contractual purchase according  to the legal procedures</t>
  </si>
  <si>
    <t>Contractual purchase according  to the legal procedures. The van will be used for transportation of the children to medical services, for educational activities and transport of staff of the facility.</t>
  </si>
  <si>
    <t>Social workers -  15 persons</t>
  </si>
  <si>
    <t>Implementation of RSDP</t>
  </si>
  <si>
    <t>Per diem, travel, accommdation SAR staff - 3 persons each travel / twice per month</t>
  </si>
  <si>
    <t>5.1 PDP3 budget</t>
  </si>
  <si>
    <t>PDP3 Increasing the capacity of General Directorate “Combating Organized Crime” for more effective investigation of organized and transnational crime</t>
  </si>
  <si>
    <t>General Directorate "Combating Organized Crime" – MoI (GDCOC)</t>
  </si>
  <si>
    <t>48 months</t>
  </si>
  <si>
    <t>Publicity</t>
  </si>
  <si>
    <t>Audit</t>
  </si>
  <si>
    <t>Output / Activity  1.1 Improved administrative capacity of GDCOC experts and other practitioners in prevention and investigation of transnational organized crimes</t>
  </si>
  <si>
    <t>20 Workshops + Draft procedural proposals and interagency guidelines (airfare, accomodation, subsistence allowances, hall rental, badges, stationery,  printing of documents for the workshop, audiovisual, technical equipment/support, microphones, flip charts, equipment for translation, translation, coffee breaks )</t>
  </si>
  <si>
    <t>Trainings in renovated facilities under Activity 3.1 (Trainers fees)</t>
  </si>
  <si>
    <t>Output / Activity  1.2 Improved coordination, cooperation, mutual understanding and international networking</t>
  </si>
  <si>
    <t>10 reciprocal study visits and development of training programs for workshops under Activity 1.1 (airfare, subsistence allowances, accommodation, internal transportation,hall rental, coffee breaks, translation and lunch for local partners)</t>
  </si>
  <si>
    <t>Total 1.3:</t>
  </si>
  <si>
    <t>Output / Activity  2.1 Delivery of IT equipment</t>
  </si>
  <si>
    <t>IT equipment</t>
  </si>
  <si>
    <t xml:space="preserve">Output / Activity  2.2 Delivery of analytical software </t>
  </si>
  <si>
    <t>Analytical software</t>
  </si>
  <si>
    <t xml:space="preserve">Total 1.5: </t>
  </si>
  <si>
    <t>Output / Activity  2.3 Delivery and instalation of IT system for digitalisation of investigated cases</t>
  </si>
  <si>
    <t>IT system for digitalisation of investigated cases</t>
  </si>
  <si>
    <t xml:space="preserve">Total 1.6: </t>
  </si>
  <si>
    <t>Output / Activity  2.4 Delivery of vehicles for transportation of victims of trafficking or smuggling</t>
  </si>
  <si>
    <t>3 Vehicles (2 vehicles 19+1 seats&amp; 1 vehicle 14+1 seats)</t>
  </si>
  <si>
    <t xml:space="preserve">Total 1.7: </t>
  </si>
  <si>
    <t>Output / Activity  2.5 Delivery of equipment for Under Cover unit</t>
  </si>
  <si>
    <t xml:space="preserve">Specialized equipment (equipment for surveillance, equipment for hidden audio and video recording, voice modifier and etc.) </t>
  </si>
  <si>
    <t xml:space="preserve">Total 1.8: </t>
  </si>
  <si>
    <t xml:space="preserve">Output / Activity  2.6 Delivery of equipment for field officers </t>
  </si>
  <si>
    <t>Specialized equipment (hidden bulletproof vests, communication equipment, night and thermo vision equipment and etc.)</t>
  </si>
  <si>
    <t xml:space="preserve">Total 1.9: </t>
  </si>
  <si>
    <t xml:space="preserve">Output / Activity  3.1 Renovation of premises for training and sustained competence development at work </t>
  </si>
  <si>
    <t>Facility 1(construction work and furnishing)</t>
  </si>
  <si>
    <t>Facility 2(construction work and furnishing)</t>
  </si>
  <si>
    <t>External experts fees</t>
  </si>
  <si>
    <t xml:space="preserve">Total 1.10: </t>
  </si>
  <si>
    <t xml:space="preserve">Output / Activity  3.2 Upgrading facilities for interrogation and recognition of detained/suspected persons or witnesses </t>
  </si>
  <si>
    <t xml:space="preserve">Total 1.11: </t>
  </si>
  <si>
    <t xml:space="preserve">Output / Activity  3.3 Improving facilities for storing and proper preservation of evidences </t>
  </si>
  <si>
    <t xml:space="preserve">Total 1.12: </t>
  </si>
  <si>
    <t>Output/Activity 1.1</t>
  </si>
  <si>
    <t>Output/Activity 1.2</t>
  </si>
  <si>
    <t>Output/Activity 2.1</t>
  </si>
  <si>
    <t>Output/Activity 2.2</t>
  </si>
  <si>
    <t>Output/Activity 2.3</t>
  </si>
  <si>
    <t>Output/Activity 2.4</t>
  </si>
  <si>
    <t>Output/Activity 2.5</t>
  </si>
  <si>
    <t>Output/Activity 2.6</t>
  </si>
  <si>
    <t>Output/Activity 3.1</t>
  </si>
  <si>
    <t>Output/Activity 3.2</t>
  </si>
  <si>
    <t>Output/Activity 3.3</t>
  </si>
  <si>
    <t xml:space="preserve">PDP 4 - Extension of the Communication Infrastructure of MoI </t>
  </si>
  <si>
    <t>Ministry of Interior, Communication and Information Systems Directorate</t>
  </si>
  <si>
    <t xml:space="preserve">€ 1,400,000  </t>
  </si>
  <si>
    <t>24 months</t>
  </si>
  <si>
    <t xml:space="preserve">Management staff </t>
  </si>
  <si>
    <t>Pers</t>
  </si>
  <si>
    <t xml:space="preserve">Output / Activity  1 </t>
  </si>
  <si>
    <t>Delivery, installation, integration and testing of TBS and training</t>
  </si>
  <si>
    <t>Pcs</t>
  </si>
  <si>
    <t>Travel and subsistence allowances</t>
  </si>
  <si>
    <t>Staff</t>
  </si>
  <si>
    <t>Output / Activity  2</t>
  </si>
  <si>
    <t>Visibility</t>
  </si>
  <si>
    <t>Output / Activity  3</t>
  </si>
  <si>
    <t>Output / Activity  ….</t>
  </si>
  <si>
    <t>Home Affairs</t>
  </si>
  <si>
    <t>PDP 5 "Enhancement of the International Police Cooperation and the Prevention of International Criminal Activities"</t>
  </si>
  <si>
    <t>International Operational Cooperation Directorate (IOCD)</t>
  </si>
  <si>
    <t>Information and visualisation materials</t>
  </si>
  <si>
    <t>Output 2.5/ Activity  1 Completing the equipment of the Training centre and providing fully functional facility equipped with translation and discussion systems</t>
  </si>
  <si>
    <t>Digital Interpreter Desk</t>
  </si>
  <si>
    <t>pc</t>
  </si>
  <si>
    <t>Basic Digital Discussion Unit for 2 delegates</t>
  </si>
  <si>
    <t>Microphones for Digital Interpreter Desk and for Basic Digital Discussion Unit for 2 delegates</t>
  </si>
  <si>
    <t>Soundcancellation headphones (for Digital Interpreter Desk)</t>
  </si>
  <si>
    <t>Lightweight Headphones (for Basic Digital Discussion Units and infrared receivers)</t>
  </si>
  <si>
    <t>Multifunctional unit (printer/scanner/copier)</t>
  </si>
  <si>
    <t>Infrared transmitter for translation receivers</t>
  </si>
  <si>
    <t xml:space="preserve">Infrared receiver </t>
  </si>
  <si>
    <t>Charging case for storage of up to 56 infrared receivers</t>
  </si>
  <si>
    <t>Mobile computer</t>
  </si>
  <si>
    <t>Output 2.6 / Activity  2  Providing trainings to officials of International Operational Cooperation Directorate</t>
  </si>
  <si>
    <t>Foreign language training for officials of IOCD in French, Spanish, German and advanced level of English</t>
  </si>
  <si>
    <t>Project management trainings (PRINCE2 methodology)</t>
  </si>
  <si>
    <t>Output 2.7 / Activity  3 Delivery of IT equipment for exchange of information delivered to respond to future police systems improvements</t>
  </si>
  <si>
    <t>PC with the functionality to operate with 2 monitors</t>
  </si>
  <si>
    <t>22" monitor for PC</t>
  </si>
  <si>
    <t>UPS devices for PC</t>
  </si>
  <si>
    <t>Scanners with functionality for 2 sided automatic scan</t>
  </si>
  <si>
    <t>Output 2.7 / Activity 4 Providing training on EU and international systems for exchange of operative police information</t>
  </si>
  <si>
    <t>Seminars for SIS II end users</t>
  </si>
  <si>
    <t xml:space="preserve">Introduction of the full implementation of SIS II legal base on bilateral level with Greece </t>
  </si>
  <si>
    <t>Output 2.5/Activity 1</t>
  </si>
  <si>
    <t>Output 2.6/Activity 2</t>
  </si>
  <si>
    <t>Output 2.7/Activity 3</t>
  </si>
  <si>
    <t>Output2.7/Activity 4</t>
  </si>
  <si>
    <t>General Directorate National Police</t>
  </si>
  <si>
    <t>36 months</t>
  </si>
  <si>
    <r>
      <t>1. DIRECT EXPENDITURES -</t>
    </r>
    <r>
      <rPr>
        <b/>
        <i/>
        <sz val="8"/>
        <color indexed="9"/>
        <rFont val="Calibri"/>
        <family val="2"/>
      </rPr>
      <t xml:space="preserve"> Reg. Art. 8.2 &amp; Art. 8.3</t>
    </r>
  </si>
  <si>
    <t>Project manager</t>
  </si>
  <si>
    <t>Deputy project manager</t>
  </si>
  <si>
    <t>Financial manager</t>
  </si>
  <si>
    <t>Project coordinator 1</t>
  </si>
  <si>
    <t>Project coordinator 2</t>
  </si>
  <si>
    <t>Output / Activity  1</t>
  </si>
  <si>
    <t>laboratories</t>
  </si>
  <si>
    <t>days</t>
  </si>
  <si>
    <t>Internal Transport for 50 experts, 7 Bulg. Lecturers and 1 organisation staff x 4 seminars</t>
  </si>
  <si>
    <t>trip</t>
  </si>
  <si>
    <t>coffee-breaks</t>
  </si>
  <si>
    <t>Fees for 2 foreign lecturers x 20 days during the training study visit</t>
  </si>
  <si>
    <t xml:space="preserve">Upgrading, renovation and equipment of 10 premises for storing material evidence </t>
  </si>
  <si>
    <t>premises</t>
  </si>
  <si>
    <t>lumpsum</t>
  </si>
  <si>
    <t>Fees for 3 Bulgarian experts for elaboration of Training materials</t>
  </si>
  <si>
    <t>lumsum</t>
  </si>
  <si>
    <t>Printing of training materials</t>
  </si>
  <si>
    <t>pcs</t>
  </si>
  <si>
    <t xml:space="preserve"> Translation of project documemtation (BG-EN-BG)</t>
  </si>
  <si>
    <t>pages</t>
  </si>
  <si>
    <t>Output / Activity 4</t>
  </si>
  <si>
    <r>
      <t xml:space="preserve">2. INDIRECT COSTS - </t>
    </r>
    <r>
      <rPr>
        <b/>
        <i/>
        <sz val="8"/>
        <color indexed="9"/>
        <rFont val="Calibri"/>
        <family val="2"/>
      </rPr>
      <t>Reg. Art. 8.5</t>
    </r>
  </si>
  <si>
    <t xml:space="preserve"> A method applied i.e. Art. 8.5.1 (b) </t>
  </si>
  <si>
    <r>
      <t>Total project management cost (</t>
    </r>
    <r>
      <rPr>
        <b/>
        <sz val="8"/>
        <color indexed="56"/>
        <rFont val="Calibri"/>
        <family val="2"/>
      </rPr>
      <t>€):</t>
    </r>
  </si>
  <si>
    <t>Output/Activity 4</t>
  </si>
  <si>
    <t>Research Institute of Forensic Sciences, MoI Bulgaria</t>
  </si>
  <si>
    <t>hour</t>
  </si>
  <si>
    <t>Project coordinator</t>
  </si>
  <si>
    <t>Leading Expert</t>
  </si>
  <si>
    <t>Experts (drugs)</t>
  </si>
  <si>
    <t>Experts (fingerprints)</t>
  </si>
  <si>
    <t>Experts (documents)</t>
  </si>
  <si>
    <t>Experts (IT)</t>
  </si>
  <si>
    <t>Technical Assistants</t>
  </si>
  <si>
    <t>Accountant</t>
  </si>
  <si>
    <t>Procurement Assistant</t>
  </si>
  <si>
    <t>Office consumables, communications,etc</t>
  </si>
  <si>
    <t xml:space="preserve">Expenditure for discussion of management teams </t>
  </si>
  <si>
    <t>Visualization</t>
  </si>
  <si>
    <t>Visibility according to Reg. art. 1.7</t>
  </si>
  <si>
    <t>GC MS</t>
  </si>
  <si>
    <t>piece</t>
  </si>
  <si>
    <t>GC-FID with headspace autosampler</t>
  </si>
  <si>
    <t>Cost of new or second hand equipment - Reg. Art. 8.3.1.c &amp; Art. 8.3.3</t>
  </si>
  <si>
    <t>GC-FID</t>
  </si>
  <si>
    <t>Cost of new or second hand equipment - Reg. Art. 8.3.1.c &amp; Art. 8.3.4</t>
  </si>
  <si>
    <t>FTIR Spectrometers</t>
  </si>
  <si>
    <t>Cost of new or second hand equipment - Reg. Art. 8.3.1.c &amp; Art. 8.3.5</t>
  </si>
  <si>
    <t>Analytical scales Readout 0,1mg</t>
  </si>
  <si>
    <t>Cost of new or second hand equipment - Reg. Art. 8.3.1.c &amp; Art. 8.3.6</t>
  </si>
  <si>
    <t>Analytical scales Readout 10mg</t>
  </si>
  <si>
    <t>Cost of new or second hand equipment - Reg. Art. 8.3.1.c &amp; Art. 8.3.7</t>
  </si>
  <si>
    <t xml:space="preserve">Kit including: 1 Nitrogen generator, 1 Hydrogen generator, 1oilless  air compressor </t>
  </si>
  <si>
    <t>Cost of new or second hand equipment - Reg. Art. 8.3.1.c &amp; Art. 8.3.8</t>
  </si>
  <si>
    <t xml:space="preserve">Auxiliary equipment
 -vortex mixer,ultrasonic bath, centrifuge
</t>
  </si>
  <si>
    <t>Cost of new or second hand equipment - Reg. Art. 8.3.1.c &amp; Art. 8.3.9</t>
  </si>
  <si>
    <t>Specialized working  station for forensic examination, including UPS and all necessary interfaces,specialized software for computers analyses and digital data, specialized software for mobile phone analyses</t>
  </si>
  <si>
    <t>Cost of new or second hand equipment - Reg. Art. 8.3.1.c &amp; Art. 8.3.10</t>
  </si>
  <si>
    <t>VSC 400</t>
  </si>
  <si>
    <t>Cost of new or second hand equipment - Reg. Art. 8.3.1.c &amp; Art. 8.3.11</t>
  </si>
  <si>
    <t>Alternative light source</t>
  </si>
  <si>
    <t>Cost of new or second hand equipment - Reg. Art. 8.3.1.c &amp; Art. 8.3.12</t>
  </si>
  <si>
    <t>Automatic chamber for cyanoacrylate processing</t>
  </si>
  <si>
    <t>Cost of new or second hand equipment - Reg. Art. 8.3.1.c &amp; Art. 8.3.13</t>
  </si>
  <si>
    <t>Biological microscopes</t>
  </si>
  <si>
    <t>Cost of new or second hand equipment - Reg. Art. 8.3.1.c &amp; Art. 8.3.14</t>
  </si>
  <si>
    <t>Stereo microscopes</t>
  </si>
  <si>
    <t>Cost of new or second hand equipment - Reg. Art. 8.3.1.c &amp; Art. 8.3.15</t>
  </si>
  <si>
    <t>Specialized Training Courses, including travelling, accomodation, daily allowances, lecturers' fees, conumables, etc</t>
  </si>
  <si>
    <t>According to Activity 2 from the project proposal</t>
  </si>
  <si>
    <t>Conference</t>
  </si>
  <si>
    <t xml:space="preserve">According to Activity 3 from the project proposal </t>
  </si>
  <si>
    <t>Output / Activity  4</t>
  </si>
  <si>
    <t xml:space="preserve">Writing and publishing “A Handbook on Forensic Science” </t>
  </si>
  <si>
    <t xml:space="preserve">According to Activity 4 from the project proposal </t>
  </si>
  <si>
    <t>PDP  8 "Increasing the effectiveness of SANS for combating economic crime including money laundering, terrorism financing, and predicate criminality"</t>
  </si>
  <si>
    <t>State Agency for National Security</t>
  </si>
  <si>
    <t xml:space="preserve">Elaboration of terms of reference (technical requirements) for the  automated system established with the assistance of experienced external specialists </t>
  </si>
  <si>
    <t xml:space="preserve"> </t>
  </si>
  <si>
    <t xml:space="preserve">Developing the capacity for data-mining of the anti-money laundering and counter terrorism financing (AML/CFT) information through relevant training and exchange of best practices </t>
  </si>
  <si>
    <t>Study visits</t>
  </si>
  <si>
    <t xml:space="preserve"> Each of the study visits in foreign FIUs will last for 4 days . The cost of one unit includes accomodation (130 euro per person per night), travel (700 euro per person), daily allowance (35 euro per person per day) expenses and expenses for insurance (5 euro per person) for 5 SANS staff members.</t>
  </si>
  <si>
    <t xml:space="preserve">Enhancing the capabilities for risk-based supervisions and risk-based application of measures of the various financial and DNFBP sectors under FIU responsibility through training </t>
  </si>
  <si>
    <t>Each of the study visits in foreign FIUs will last for 4 days . The cost of one unit includes accomodation (130 euro per person per night), travel (700 euro per person), daily allowance (35 euro per person per day) expenses and expenses for insurance (5 euro per person) for 5 SANS staff members.</t>
  </si>
  <si>
    <t xml:space="preserve">Provision of technical assistance for the elaboration of a methodology for risk-based supervision by an experienced external specialist </t>
  </si>
  <si>
    <t>The cost of the unit includes the contract payment for the external specialist and accomodation, travel and daily allowance expenses. The external specialist will be appointed according to the rules of The Law on Public Procurement.</t>
  </si>
  <si>
    <t xml:space="preserve">Open source intelligence (OSINT) training for SANS staff (financial security and financial intelligence units) </t>
  </si>
  <si>
    <t>Training</t>
  </si>
  <si>
    <t xml:space="preserve">The cost of the unit includes the rent of a conference room for 5 days, coffee beaks and lunch for 20 persons (30 euro per person per day) the contract payment, accomodation, travel and daily allowance expenses for 2 lecturers (3 200 per person).  The latter will be appointed according to the rules of The Law on Public Procurement. </t>
  </si>
  <si>
    <t>Output / Activity  5</t>
  </si>
  <si>
    <t xml:space="preserve">Establishing encrypted connections for exchanging the information among the competent authorities under the aforementioned Directive for enhanced aggregation of the data sources and information </t>
  </si>
  <si>
    <t>Cryptodevice</t>
  </si>
  <si>
    <t xml:space="preserve">The cost of the unit includes 2 cryptodevice for connection between FID-SANS and other SANS directorates and 2 cryptodevices for connectin between FID-SANS and MoI. </t>
  </si>
  <si>
    <t xml:space="preserve">Workstation </t>
  </si>
  <si>
    <t>The cost of the unit includes 1 workstation for each of the cryptodevices.</t>
  </si>
  <si>
    <t xml:space="preserve">Cryptokey management station </t>
  </si>
  <si>
    <t>The cost of the unit includes 1 cryptokey management stations for all cryptodevices.</t>
  </si>
  <si>
    <t>Output / Activity  6</t>
  </si>
  <si>
    <t>Developing, delivering and deploying an automated system for electronic document management</t>
  </si>
  <si>
    <t>Software</t>
  </si>
  <si>
    <t>The cost of unit includes the software for electronic document management system and 5 years software support.</t>
  </si>
  <si>
    <t>Hardware</t>
  </si>
  <si>
    <t>The cost of unit includes the hardware (servers, storages  and workstations) for the 1 central and 30 external points of the electronic document management system</t>
  </si>
  <si>
    <t>Implementation</t>
  </si>
  <si>
    <t>The cost of unit includes the installation, configuration and deploying of the central system</t>
  </si>
  <si>
    <t>Migration</t>
  </si>
  <si>
    <t>The cost of unit includes the database migration from the old local document management system to the new automated system</t>
  </si>
  <si>
    <t>Education</t>
  </si>
  <si>
    <t xml:space="preserve">The cost of unit includes the education of 5 administrators, 10 document manager users, and 25 users </t>
  </si>
  <si>
    <t>Business trip</t>
  </si>
  <si>
    <t xml:space="preserve">The cost of units includes the business trip for 3 SANS staff persons (35 euro per person per day) and fuel for 15000km, for the implementation of the 30 external points (5 work days for the point). </t>
  </si>
  <si>
    <t>Output/Activity 5</t>
  </si>
  <si>
    <t>Output/Activity 6</t>
  </si>
  <si>
    <t xml:space="preserve">[PDP 9]Capacity building of the police officers working in multi-ethnic environment, including Roma communities and prevention of ill-treatment by the police </t>
  </si>
  <si>
    <t>The Academy of the Ministry of Interior (AMoI)</t>
  </si>
  <si>
    <t>Project Leader</t>
  </si>
  <si>
    <t>mont</t>
  </si>
  <si>
    <t>Project Coordinator</t>
  </si>
  <si>
    <t>Finance Coordinator</t>
  </si>
  <si>
    <t>momt</t>
  </si>
  <si>
    <t>Cordinator Output 1</t>
  </si>
  <si>
    <t>Cordinator Output 2</t>
  </si>
  <si>
    <t xml:space="preserve">Total 1.0: </t>
  </si>
  <si>
    <t>Output 1 / Activity  1 Awareness raising among police officers on crime prevention, Roma values and culture and European antidiscrimination standards; increasing knowledge of police officers on Roma community (e.g. on Roma history, culture, values etc.), preventing the stereotypes against Roma, reducing the prejudices, mistreatment and ethnic profiling; involving Roma leaders, community, NGOs and international partners (OSCE) in trainings to share experience</t>
  </si>
  <si>
    <t>Partner coordinator  (a representative of the OSCE)</t>
  </si>
  <si>
    <t>Fees for 2 experts of the OSCE (15 days work for each)</t>
  </si>
  <si>
    <t>Including 2 training, one visit in BG for preparation of training and training materials</t>
  </si>
  <si>
    <t>Travel expenses 2 experts of the OSCE</t>
  </si>
  <si>
    <t>Per diem 2 experts of the OSCE (3 visits for 3 days in BG)</t>
  </si>
  <si>
    <t>Travel expenses 50 BG trainees</t>
  </si>
  <si>
    <t>Organization of 2 trainings each 3 days for 29 person (accomodation, daily food and e.t.c.)</t>
  </si>
  <si>
    <t>nigt</t>
  </si>
  <si>
    <t xml:space="preserve">25 traines, two OSCE
 lectires and two interpreters </t>
  </si>
  <si>
    <t>Kick off meeting (catering for 30 person)</t>
  </si>
  <si>
    <t>persons</t>
  </si>
  <si>
    <t>project open event</t>
  </si>
  <si>
    <t>Interpreter fee - 2 interpreters</t>
  </si>
  <si>
    <t>Translation of documents, report and other</t>
  </si>
  <si>
    <t>page</t>
  </si>
  <si>
    <t>Consumables and supplies</t>
  </si>
  <si>
    <t>items</t>
  </si>
  <si>
    <t>Visibility materials</t>
  </si>
  <si>
    <t>Total 1.1.</t>
  </si>
  <si>
    <t>Travel expenses 30 BG trainees (3 trainigs ) (train the trainers)</t>
  </si>
  <si>
    <t>Travel expenses lectures from AMoI (3 lectures) (train the trainers)</t>
  </si>
  <si>
    <t>Organization of 3 trainings each 3 days (accomodation, daily food and e.t.c.) (train the trainers)</t>
  </si>
  <si>
    <t>person</t>
  </si>
  <si>
    <t>Fees for leactures (train the trainers)</t>
  </si>
  <si>
    <t>Travel expenses 30 BG trainees (9 trainigs ) (seminars)</t>
  </si>
  <si>
    <t>Travel expenses lectures from AMoI (3 lectures) (seminars)</t>
  </si>
  <si>
    <t>Organization of 9 trainings each 3 days (accomodation, daily food and e.t.c.) (seminars)</t>
  </si>
  <si>
    <t>Fees for leactures - seminars</t>
  </si>
  <si>
    <t xml:space="preserve">Total 1.2: </t>
  </si>
  <si>
    <t>Acomodation for national observer experts in in-service training (60 nigts outside Sofia)</t>
  </si>
  <si>
    <t>They wiil control and asses in-service training counducted by trainers.</t>
  </si>
  <si>
    <t>Daly food fornational observer experts in in-service training (120 days outside Sofia)</t>
  </si>
  <si>
    <t>Travel expence for national observer experts in in-service training (30 events outside Sofia)</t>
  </si>
  <si>
    <t>Fees for 4 MoI observer experts  in in-service training (80 days )</t>
  </si>
  <si>
    <t>Printing of the manuals</t>
  </si>
  <si>
    <t>books</t>
  </si>
  <si>
    <t>Printing of the study</t>
  </si>
  <si>
    <t>Different equipment for 6 training rooms (tables, chairs, computers, proectors and etc.)</t>
  </si>
  <si>
    <t>eqiped classrooms</t>
  </si>
  <si>
    <t>Project for renovation</t>
  </si>
  <si>
    <t>Renovation project</t>
  </si>
  <si>
    <t>Renovation classroms</t>
  </si>
  <si>
    <t>classrooms</t>
  </si>
  <si>
    <t>Fees for experts work on e-learning platform (5 experts from AMoI 45 work for each)</t>
  </si>
  <si>
    <t xml:space="preserve">Total 2.1: </t>
  </si>
  <si>
    <t xml:space="preserve">Total 2.2: </t>
  </si>
  <si>
    <t xml:space="preserve">Total 2.3: </t>
  </si>
  <si>
    <t>Different equipment for 3 training rooms (tables, chairs, computers, proectors and etc.)</t>
  </si>
  <si>
    <t>Final event (catering for 30 person)</t>
  </si>
  <si>
    <t xml:space="preserve">Total 2.4: </t>
  </si>
  <si>
    <t>Output 1</t>
  </si>
  <si>
    <t>Output 2</t>
  </si>
  <si>
    <t>PDP 10 title: Improvement of the efficiency of the police activity in the field of domestic and gender-based violence</t>
  </si>
  <si>
    <t>A 1.1 Four three-day seminars per diem for 50 experts and 7 Bulg. Lecturers + 1 organisation staff x 3 days x 4 seminars</t>
  </si>
  <si>
    <t>A 1.1 Four three-day seminars accommodation for 50 experts and 7 Bulg. Lecturers + 1 organisation staff x 2 nights x 4 seminars</t>
  </si>
  <si>
    <t>A 1.1 Fees for 7 Bulgarian lecturers x 2 days x 4 seminars</t>
  </si>
  <si>
    <t>A 1.1 Internal Transport for 50 experts, 7 Bulg. Lecturers and 1 organisation staff x 4 seminars</t>
  </si>
  <si>
    <t>A 1.1 Room and technical equipment rental for 3 days x 4 seminars</t>
  </si>
  <si>
    <t>A 1.1 coffe-breaks for 58 participants x 3 days x 4 seminars - 2 coffee-breaks per day</t>
  </si>
  <si>
    <t>A 1.1 Fees for 3 Bulgarian experts for elaboration of Training materials</t>
  </si>
  <si>
    <t>A 1.1 Printing of training materials</t>
  </si>
  <si>
    <t>flights</t>
  </si>
  <si>
    <t>PDP 11 title: Improvement of the coordination and dialogue between police and Roma society as to promote community policing and to prevent and counteract to radicalization, violent extremism and hate speech</t>
  </si>
  <si>
    <t>Deputy-project manager</t>
  </si>
  <si>
    <t>A 1.1 Fees for 3 Bulgarian experts for carriyng out a study of needs and gaps in the fields of prevention of radicalization and violent extremism</t>
  </si>
  <si>
    <t>A 1.2 Five-day Training Study visit to MS, per diem for 9 Bulg. experts and 1 interpreter x 5 days x 3 visits</t>
  </si>
  <si>
    <t>A 1.2 Five-day Training Study visit to MS, accommodatin for 9 Bulg. experts and 1 interpreter x 4 nights x 3 visits</t>
  </si>
  <si>
    <t>A 1.2 Flights for 9 Bulg. experts and 1 interpreter x 3 visits</t>
  </si>
  <si>
    <t>A 1.2 Internal transportation in MS for 9 Bulg. experts and 1 interpreter x 3 visits</t>
  </si>
  <si>
    <t>A 1.2 Fees for 1 foreign expert for organization and coordination study vizits - 15 days</t>
  </si>
  <si>
    <t>A 2.1 Fees for 3 Bulgarian experts for adaption of training matrials, development of education methodology and handbooks</t>
  </si>
  <si>
    <t>A 2.1 Printing of training materials, methodology and handbooks</t>
  </si>
  <si>
    <t>A 2.2 Internal Transport for 40 experts and 4 Bulg. Lecturers + 1 organization staff x 2 seminars</t>
  </si>
  <si>
    <t>A 2.2 Room and technical equipment rental for 3 days x 2 seminars</t>
  </si>
  <si>
    <t>A 2.2 coffe-breaks for 47 participants x 3 days x 2 seminars - 2 coffee-breaks per day</t>
  </si>
  <si>
    <t>A 2.2 Fees for 4 Bulgarian lecturers x 2 days x 2 seminars</t>
  </si>
  <si>
    <t>A 2.2 Interpreter fees for 2 days x 2 seminars</t>
  </si>
  <si>
    <t>A 2.2 DSA for 2 specified CoE experts for 2 days x 2 seminars</t>
  </si>
  <si>
    <t>A 2.2 flights for 2 specified CoE experts for 2 days x 2 seminars</t>
  </si>
  <si>
    <t>A 2.2 fees for 2 specified CoE experts for 2 days x 2 seminars</t>
  </si>
  <si>
    <t>A 2.3 Internal Transport for 40 experts, 4 Bulgarian lecturers and 2 trainers + 1 organization staff x 6 seminars</t>
  </si>
  <si>
    <t>A 2.3 Room and technical equipment rental for 3 days x 6 seminars</t>
  </si>
  <si>
    <t>A 2.3 Fees for 4 Bulgarian lecturers x 2 days x 6 seminars</t>
  </si>
  <si>
    <t>A 2.3 coffe-breaks for 47 participants x 3 days x 6 seminars - 2 coffee-breaks per day</t>
  </si>
  <si>
    <t>A 3.1 Reconstruction and equipment of 20 premises for reception of citizens in areas with prevailing Roma population</t>
  </si>
  <si>
    <t>A 4.1 Carrying out 5 nation-wide information and explanation campaigns</t>
  </si>
  <si>
    <t>A 4.2 Printing of lecturing materials</t>
  </si>
  <si>
    <t>A 4.3 Fees for 10 mediators involved for closer contact inside Roma community x 4 meetings</t>
  </si>
  <si>
    <t>A 4.4 Room and technical equipment rental for 10 meetings for lectures with children and their parents</t>
  </si>
  <si>
    <t>A 4.4 Coffee breaks for 10 meetings for lectures with children and their parents</t>
  </si>
  <si>
    <t>A 4.6 Carrying out a competition for best student's essay on topic "No to differences, Yes to tolerance and integration" - gifts and medals for children</t>
  </si>
  <si>
    <t>PDP 12 - Awareness raising of local communities in areas with significant share of Roma population on asylum and migration issues</t>
  </si>
  <si>
    <t xml:space="preserve">680 000 € </t>
  </si>
  <si>
    <r>
      <t>1. DIRECT EXPENDITURES -</t>
    </r>
    <r>
      <rPr>
        <i/>
        <sz val="11"/>
        <color theme="1"/>
        <rFont val="Calibri"/>
        <family val="2"/>
        <scheme val="minor"/>
      </rPr>
      <t xml:space="preserve"> Reg. Art. 8.2 &amp; Art. 8.3</t>
    </r>
  </si>
  <si>
    <t>Project manager - 33,33 %</t>
  </si>
  <si>
    <t>Month</t>
  </si>
  <si>
    <t>Project financial officer - 33,33 %</t>
  </si>
  <si>
    <t>Lump sum</t>
  </si>
  <si>
    <t>Output: Raise awareness of Roma communities on legal aspects, rights and responsibilities of asylum seekers and undocumented migrants in Bulgaria</t>
  </si>
  <si>
    <t>Activity 1.1 Elaboration of a comprehensive analysis/assessment of the situation of the Roma population as regard the migration related issues to better target the topics to be tackled</t>
  </si>
  <si>
    <t>Item</t>
  </si>
  <si>
    <t>Output / Activity  1.2 Iimplementation of awareness raising campaigns on legal aspects, rights and responsibilities of asylum seekers and undocumented migrants in Bulgaria covering Roma communities</t>
  </si>
  <si>
    <t>Days</t>
  </si>
  <si>
    <t>DSA amount can vary depending on IOM internal rules</t>
  </si>
  <si>
    <t>fuel costs only. The vehicles to be used are available in IOM</t>
  </si>
  <si>
    <t>Output: Raise awareness of Roma communities on legal aspects of working in the EU/EEA, risks and prevention of exploitation, including risks of labour trafficking, conditions for staying and working in EU/EEA; access to social and health services in the EU/EEA, etc.</t>
  </si>
  <si>
    <t>Output /Activity 2.1 Implementation of information sessions, discussions, workshops and other awareness raising activities on legal aspects of working in the EU/EEA, risks and prevention of exploitation, including risks of labour trafficking, conditions for staying and working in EU/EEA; access to social and health services in the EU/EEA</t>
  </si>
  <si>
    <t>flight</t>
  </si>
  <si>
    <t>Event</t>
  </si>
  <si>
    <t>Depretiation of IOM vehicle (50 %use under the PDP)</t>
  </si>
  <si>
    <t xml:space="preserve">Maintance of IOM vehicle  </t>
  </si>
  <si>
    <t>Year</t>
  </si>
  <si>
    <r>
      <t xml:space="preserve">2. INDIRECT COSTS - </t>
    </r>
    <r>
      <rPr>
        <i/>
        <sz val="11"/>
        <color theme="1"/>
        <rFont val="Calibri"/>
        <family val="2"/>
        <scheme val="minor"/>
      </rPr>
      <t>Reg. Art. 8.5</t>
    </r>
  </si>
  <si>
    <t>IOM as international organisation will apply method specified in. Art. 8.5.1 € - 7 % flat rate for indirect costs</t>
  </si>
  <si>
    <r>
      <t>Total project management cost (</t>
    </r>
    <r>
      <rPr>
        <sz val="11"/>
        <color theme="1"/>
        <rFont val="Calibri"/>
        <family val="2"/>
      </rPr>
      <t>€):</t>
    </r>
  </si>
  <si>
    <t>A 1.1 Two three-day seminars per diem for 35 experts and 5 Bulg. Lecturers + 1 organisation staff x 3 days x 2 seminars</t>
  </si>
  <si>
    <t>A 1.1 Two three-day seminars accommodation for 35 experts and 5 Bulg. Lecturers + 1 organisation staff x 2 nights x 2 seminars</t>
  </si>
  <si>
    <t>A 1.1 Fees for 5 Bulgarian lecturers x 2 days x 2 seminars</t>
  </si>
  <si>
    <t>A 1.1 Internal Transport for 35 experts, 5 Bulg. Lecturers and 1 organisation staff x 2 seminars</t>
  </si>
  <si>
    <t>A 1.1 Room and technical equipment rental for 3 days x 2 seminars</t>
  </si>
  <si>
    <t>A 1.1 coffe-breaks for 43 participants x 3 days x 2 seminars - 2 coffee-breaks per day</t>
  </si>
  <si>
    <t>A 1.1 Interpreter fees for 3 days x 2 seminars</t>
  </si>
  <si>
    <t>A 1.1 DSA for 2 specified MS experts for 2 days x 2 seminars</t>
  </si>
  <si>
    <t>A 1.1 flights for 2 specified MS experts for 2 days x 2 seminars</t>
  </si>
  <si>
    <t>A 1.1 fees for 2 specified MS experts for 2 days x 2 seminars</t>
  </si>
  <si>
    <t>A 2.1 Delivery of 70 computer configurations</t>
  </si>
  <si>
    <t>hardware</t>
  </si>
  <si>
    <t>Printers</t>
  </si>
  <si>
    <t>Delivery of software - 70 Microsoft licensed operational system and Linux; licenced antivirus program</t>
  </si>
  <si>
    <t>software</t>
  </si>
  <si>
    <t>A 3.1 Five-day Training Study visit to MS, per diem for 9 Bulg. experts and 1 interpreter x 5 days x 2 visits</t>
  </si>
  <si>
    <t>A 3.1 Five-day Training Study visit to MS, accommodatin for 9 Bulg. experts and 1 interpreter x 4 nights x 2 visits</t>
  </si>
  <si>
    <t>A 3.1 Flights for 9 Bulg. experts and 1 interpreter x 2 visits</t>
  </si>
  <si>
    <t>A 3.1 Internal transportation in MS for 9 Bulg. experts and 1 interpreter x 2 visits</t>
  </si>
  <si>
    <t>A 3.1 Fees for 1 foreign expert for organization and coordination study vizits - 10 days</t>
  </si>
  <si>
    <t>PDP2 - Increasing the administrative capacity of the national authorities in the asylum and migration area</t>
  </si>
  <si>
    <t xml:space="preserve">State Agency for Refugees (SAR) at the Council of Ministers </t>
  </si>
  <si>
    <t xml:space="preserve">Remuneration of the SAR project management team </t>
  </si>
  <si>
    <t>month</t>
  </si>
  <si>
    <t>Travel costs for SAR team</t>
  </si>
  <si>
    <t>Steering Committee meetings (project progress of Border Police actions)</t>
  </si>
  <si>
    <t>meetings</t>
  </si>
  <si>
    <t>6 Norwegian Experts - Lecturers (Migration Directorate actions)</t>
  </si>
  <si>
    <t>Fee per day</t>
  </si>
  <si>
    <t>Migration Directorate Expert</t>
  </si>
  <si>
    <t>Preparing of functional analysis of SAR</t>
  </si>
  <si>
    <t>number</t>
  </si>
  <si>
    <t>Output / Activity  3 Trainings and Supervision for the State Agency for Refugees</t>
  </si>
  <si>
    <t xml:space="preserve">1. Supervision </t>
  </si>
  <si>
    <t xml:space="preserve">supervised people </t>
  </si>
  <si>
    <t xml:space="preserve">2. Trainings -  Training of SAR’s staff regarding the gender-based violence </t>
  </si>
  <si>
    <t>trained people</t>
  </si>
  <si>
    <t xml:space="preserve">2.1. Trainings - Training for inter institutional collaboration </t>
  </si>
  <si>
    <t>2.3. Trainings -  Training of mayors on the selection of legal guardians for minors</t>
  </si>
  <si>
    <t xml:space="preserve">2.4. Trainings - Conducting two annual workshops for officials of SAR with the purpose of recognizing the achieved results on the basis of the past six months. </t>
  </si>
  <si>
    <t>Output / Activity 4 Key competencies trainings for the State Agency for Refugees</t>
  </si>
  <si>
    <t>Key competencies trainings  - Training of registers, interviewers and experts assessing vulnerability</t>
  </si>
  <si>
    <t xml:space="preserve">Key competencies trainings  -  Training in the field of legal psychology for registration officers, case workers and social experts. </t>
  </si>
  <si>
    <t>Output / Activity  5 Information and publicity measures for SAR actions</t>
  </si>
  <si>
    <t>Output / Activity 6 Increasing the administrative capacity of Chief Directorate Border Police</t>
  </si>
  <si>
    <t>Increasing theadministrative capacity of the staffof Chief Directorate Border Police for working with UAMs</t>
  </si>
  <si>
    <t>trainings</t>
  </si>
  <si>
    <t>Increasing theadministrative capacity of the staffof Chief Directorate Border Police in the field of counteracting trafficking in UAMs, respect for their rights</t>
  </si>
  <si>
    <t>Output / Activity 7 Two visits to Norway of 9 Migration Directorate- MoI experts each group</t>
  </si>
  <si>
    <t>18 MD-MoI experts</t>
  </si>
  <si>
    <t>flight ticket</t>
  </si>
  <si>
    <t>18 MD-MoI experts for 4-days-stay</t>
  </si>
  <si>
    <t>daily 
allowance</t>
  </si>
  <si>
    <t>18 MD-MoI experts for 3-nights</t>
  </si>
  <si>
    <t>night/hotel</t>
  </si>
  <si>
    <t>Total 1.8:</t>
  </si>
  <si>
    <t xml:space="preserve">Output / Activity 8  Four seminars/workshops at different regions in Bulgaria </t>
  </si>
  <si>
    <t>4 workshops for 25 MD-MoI experts each - intercity transport</t>
  </si>
  <si>
    <t>intercity
transport</t>
  </si>
  <si>
    <t>4 workshops for 25 MD-MoI experts each - daily allowance for 3 days</t>
  </si>
  <si>
    <t>4 workshops for 25 MD-MoI experts each - hotel accommodation for 2 nights</t>
  </si>
  <si>
    <t>6 Norwegian Experts - Lecturers in the seminars</t>
  </si>
  <si>
    <t>per diems</t>
  </si>
  <si>
    <t>Rent of a hall - for 4 seminars, for 2 days each</t>
  </si>
  <si>
    <t>rent per day</t>
  </si>
  <si>
    <t>Coffee breaks for 4 seminars, for 2 days each, for 25 persons</t>
  </si>
  <si>
    <t>price for 
person per day</t>
  </si>
  <si>
    <t>Rent of technical equipment for the 4 seminars for 2 days each</t>
  </si>
  <si>
    <t>Ensuring visibility of the NFM funding-a banner</t>
  </si>
  <si>
    <t>a banner</t>
  </si>
  <si>
    <t>Ensuring visibility of the NFM funding-visibility kits</t>
  </si>
  <si>
    <t>visibility kits</t>
  </si>
  <si>
    <t>Art. 8.5.1(d): up to 7% of the total eligible direct costs</t>
  </si>
  <si>
    <t>Output/Activity 7</t>
  </si>
  <si>
    <t>Output/Activity 8</t>
  </si>
  <si>
    <t>PDP 7 Development of Expert Forensic Examinations and Activities at the Research Institute of Forensic Sciences at the Ministry of Interior (RIFS) and technical upgrade and expansion of the possibilities of five basic regional forensic laboratories</t>
  </si>
  <si>
    <t>lump sum</t>
  </si>
  <si>
    <t>Project manager (GDNP)</t>
  </si>
  <si>
    <t>Financial manager (GDNP)</t>
  </si>
  <si>
    <t>Project coordinator 1 (GDNP)</t>
  </si>
  <si>
    <t>Project coordinator 2 (GDNP)</t>
  </si>
  <si>
    <t>Output / Activity  1   ISD</t>
  </si>
  <si>
    <t>Output / Activity  2    ISD</t>
  </si>
  <si>
    <t xml:space="preserve">Elaboration of methodology and tools for introduction of anti-corruption measures </t>
  </si>
  <si>
    <t>Output / Activity  3    ISD</t>
  </si>
  <si>
    <t xml:space="preserve">Delivery of 4 types of specialized software, 80 relevant modern pieces of equipment and 160 specialised technical devices for supporting the implementation of anti-corruption measures and ensuring implementation of ISD-MoI tasks related to management, coordination, operational criminal analysis, monitoring and evaluation through IT-based technologies </t>
  </si>
  <si>
    <t>software &amp; hardware</t>
  </si>
  <si>
    <t>Output / Activity  4  GDNP</t>
  </si>
  <si>
    <t>day</t>
  </si>
  <si>
    <t>Output / Activity  5   GDNP</t>
  </si>
  <si>
    <t>Output / Activity  6   GDNP</t>
  </si>
  <si>
    <t xml:space="preserve">                                                                                     Output / Activity
Budget Heading</t>
  </si>
  <si>
    <t>PDP13 - Preventing and Combating Corruption</t>
  </si>
  <si>
    <t>Total costs of soft measures</t>
  </si>
  <si>
    <t>Indirect costs related to soft measures</t>
  </si>
  <si>
    <t>-</t>
  </si>
  <si>
    <t>Deputy financial manager</t>
  </si>
  <si>
    <t>Project team/experts (10persons)</t>
  </si>
  <si>
    <t xml:space="preserve">Repairs and equipment - minimum 4 halls </t>
  </si>
  <si>
    <t>2.2.Trainings - Training of legal guardians of unaccompanied minors + Guidance for the legal guardian's work</t>
  </si>
  <si>
    <t>Key competencies trainings  -  Conducting a training of case workers and registration officers regarding methods and approaches for the conduct of interviews in accordance with the ethnic affiliation + tools for working with different groups of asylum seekers</t>
  </si>
  <si>
    <t xml:space="preserve">Information and publicity - Video clips (movies) minimum 4 video clips + information materials </t>
  </si>
  <si>
    <t>Output 1/ Activity  4 - Analysis of policing performed in the field of preventing and combating domestic violence, trafficking in human beings, domestic violence and pickpocketing in areas with predominantly Roma population</t>
  </si>
  <si>
    <t>Output 1 / Activity  5 The necessary conditions for effective multi-ethnic police training provided</t>
  </si>
  <si>
    <t>Output 2/ Activity  1 Additional module on the e-learning platform of AMoI developed for the purpose of in-service training of police officers on prevention of ill-treatment by police</t>
  </si>
  <si>
    <t>Output 2/ Activity  2 Curriculum on prevention of ill-treatment by police developed and implemented in the initial police training conducted in the Centres for Specialised Police Training in Pazardzhik, Varna and Kazanlak</t>
  </si>
  <si>
    <t xml:space="preserve">Output 2/ Activity  3 Trainings on prevention of ill-treatment by police conducted in Centres for Specialized Police Training in Pazardzhik, Varna and Kazanlak as part of the courses for initial police training  </t>
  </si>
  <si>
    <t>Output 2/ Activity  4  Specialised cabinets for prevention of police ill-treatment in the Centres for Specialised Police Training in Pazardzhik, Varna and Kazanlak set up.</t>
  </si>
  <si>
    <t>Project Partner:</t>
  </si>
  <si>
    <t>Training, Seminars &amp; Conferences in the field of combating corruption</t>
  </si>
  <si>
    <t xml:space="preserve">Mobility and exchange of ISD employees    </t>
  </si>
  <si>
    <t>Development of Anonymous Open Lines for corruption cases and Increasing the efficiency and effectiveness of management</t>
  </si>
  <si>
    <t>NFM</t>
  </si>
  <si>
    <t>Output / Activity  5a</t>
  </si>
  <si>
    <t>Awareness rising among obliged entities under the AML/CFT legislation and enhancing  their capabilities to properly apply the new AML/CFT legislation requirements (adopted for the transposition of the Directive (EU) 2015/849 of the European Parliament and the Council (of EEA relevance).</t>
  </si>
  <si>
    <t>Survey</t>
  </si>
  <si>
    <t xml:space="preserve">The cost of the unit includes the gathering of relevant data and information, analysis, identification of  areas of high risk of ML/FT (which should also reflect the conclusions of the NRA), designating categories of obliged entities under the AML/CFT legislation for training and drafting topics for discussions. This activity should be performed by a NGO with the relevant background and activity. The NGO should be constituted as a partner under the project.  </t>
  </si>
  <si>
    <t>Trainings in Sofia</t>
  </si>
  <si>
    <t>The cost of the unit includes the rent of a conference room for 20 days, coffee beaks and lunch for 20 persons per day (40 euro per person per day), the contract payment for 2 lecturers (300  euro per person day).  The latter will be appointed by the  NGO, in its capacity of partner under the project. The NGO shoul also organize the trainings.</t>
  </si>
  <si>
    <t>Trainings in the country</t>
  </si>
  <si>
    <t>The cost of the unit includes  the rent of a conference room for 15 days, coffee beaks and lunch for 20 persons per day (40 euro per person per day), the contract payment for 2 lecturers (300  euro per person day).  The latter will be appointed by the  NGO, in its capacity of partner under the project. The cost of unit  includes also accomodation (25 euro per person per night), travel ( max 75 euro per person), daily allowance (10 euro per person per day) expenses  for 1 SANS staff member, as well as accomodation and travel expenses for the lecturers (100 euro per person).</t>
  </si>
  <si>
    <t>Organization and administrarive support for the trainings</t>
  </si>
  <si>
    <t xml:space="preserve">The cost of the organization and administrative support of the  trainings by the NGO - 100 eur per training. </t>
  </si>
  <si>
    <t xml:space="preserve">                                                                                            Output / Activity</t>
  </si>
  <si>
    <t>Budget Heading</t>
  </si>
  <si>
    <t>Output/Activity 5a</t>
  </si>
  <si>
    <t xml:space="preserve">Project on continued improving the Asset Recovery system in Bulgaria </t>
  </si>
  <si>
    <t>Commission for Illegal Assets Forfeiture</t>
  </si>
  <si>
    <t>N/A</t>
  </si>
  <si>
    <t>Project Coordinating Administrator</t>
  </si>
  <si>
    <t>Project Administrating Expert</t>
  </si>
  <si>
    <t>External expert(s)/ Consultant(s)/ Service Provider(s) for the purposes of producing the legally required set of documents  at the phase of preparing of the public procurement procedures; if applicable and subject to CIAF's discretion if not mandatory</t>
  </si>
  <si>
    <t>the entire volume of service instances</t>
  </si>
  <si>
    <t>The unit "service instance" is of collective character: i.e. it may be based on one or more contracts. Further to that, more than one service instance is possible, if more than one public procurement procedure will take place, which will be known when the project starts and a public procurement plan is made.</t>
  </si>
  <si>
    <t>External expert(s)/ Consultant(s)/ Service Provider(s)/PP Employees for the purposes of  analysing, evaluating and ranking of the offers of public procurement candidates/participants at the phase of enacting the public procurement procedures; if applicable and subject to CIAF's discretion if not mandatory</t>
  </si>
  <si>
    <t>The unit "service instance" is of collective character: i.e. it may be based on one or more contracts (or other documents with a payment provison, e.g. internal institutional rules/orders); if internal institutional order is applied, the "Type of expenditure" category might require a different treatment, e.g. "staff costs". Further to that, more than one service instance is possible, if more than one public procurement procedure will take place, which will be known when the project starts and a public procurement plan is made.</t>
  </si>
  <si>
    <t>Output / Activity  1 "Specialized training for CIAF inspectors with economist profile on legal entities analysis/dissection"</t>
  </si>
  <si>
    <t>Hotel for (60 + 6) participants incl.breakfast (5 overnights/person)</t>
  </si>
  <si>
    <t>overnight</t>
  </si>
  <si>
    <r>
      <t xml:space="preserve">Different groups of 20 trainees make up for a total of 60 participants. The extra 6 participants are the National Experts providing the training, i.e. 2 experts engaged for a week-long training, times 3 trainings/weeks. Individual experts might overlap across the weeks.
</t>
    </r>
    <r>
      <rPr>
        <b/>
        <i/>
        <sz val="8"/>
        <color rgb="FF000000"/>
        <rFont val="Calibri"/>
        <family val="2"/>
        <charset val="204"/>
        <scheme val="minor"/>
      </rPr>
      <t>Note!: The type of expenditure was arbitrarily selected. Due to Bulgarian public procurement legislation it is possible that this expenditure eventually might fall under the "Costs entailed by other contracts..." category.</t>
    </r>
  </si>
  <si>
    <t>Rent of equipped event space (22 pers)</t>
  </si>
  <si>
    <t>The extra 2 persons are the National Experts</t>
  </si>
  <si>
    <t>Catering (20 + 2 pers) x 3 = 66 pers x 5 days = 330 meal days</t>
  </si>
  <si>
    <t>personal meal days</t>
  </si>
  <si>
    <t>National expert fees</t>
  </si>
  <si>
    <t>Training sessions are based on 6 academic hours per day except for Friday with 3 ac.hours. Thus a week-long training results in 27 hrs. The total is 27 x 3 weeks = 81 academic hours</t>
  </si>
  <si>
    <t>Cost of consumables</t>
  </si>
  <si>
    <t>individual sets</t>
  </si>
  <si>
    <t>Note!: The type of expenditure was arbitrarily selected. Due to Bulgarian public procurement legislation it is possible that this expenditure eventually might fall under the "Costs entailed by other contracts..." category.</t>
  </si>
  <si>
    <t>Output / Activity  2 "A training event by local professionals for all CIAF inspectors (attorneys and economists) on financial investigations/asset tracing techniques and typologies"</t>
  </si>
  <si>
    <t>Hotel for 5 CIAF participants incl.breakfast (2 overnights/person)</t>
  </si>
  <si>
    <t>Rent of equipped event space (42 pers)</t>
  </si>
  <si>
    <t>Catering (40 + 2 pers) x 2 days = 84 meal days</t>
  </si>
  <si>
    <t>National expert fees for 2 persons per day</t>
  </si>
  <si>
    <t>The unit price is the total for 2 experts for the day</t>
  </si>
  <si>
    <t>Output / Activity  3 "Seminar oriented training on the same topics as found under Activity 1.1.2., including open source intelligence, available to CIAF and other national law enforcement agencies and the Judiciary, and provided by foreign experts. A second training with experts from the UK and/or Ireland is possible"</t>
  </si>
  <si>
    <t>Hotel for 5 CIAF participants incl.breakfast (1 overnight/person)</t>
  </si>
  <si>
    <t>The extra 2 persons are the Foreign Experts</t>
  </si>
  <si>
    <t>Catering (40 + 2 pers) x 1 day = 42 meal days</t>
  </si>
  <si>
    <t>Foreign expert fees for 2 persons</t>
  </si>
  <si>
    <t>service instance</t>
  </si>
  <si>
    <t>The unit "service instance" is of collective character: i.e. it may be based on one or more contracts. The experts might be attracted individually or through an arrangement/contract with a legal entity, incl. government/international organisation.</t>
  </si>
  <si>
    <t>Foreign experts Travel to BG (2 pers)</t>
  </si>
  <si>
    <t>RTN flight</t>
  </si>
  <si>
    <t>unit price is averaged</t>
  </si>
  <si>
    <t>Interpretation services</t>
  </si>
  <si>
    <t>Translation services</t>
  </si>
  <si>
    <t>If the training under Activity 4 does not take place for whatever reasons, then the budget for that Activity 4 will be relocated to Activity 3 for providing  extra training/s</t>
  </si>
  <si>
    <t>Output / Activity 4 "Certified training by Irish or British authorities on asset recovery based in one of those countries"</t>
  </si>
  <si>
    <t>Travel abroad for 5 persons from BG</t>
  </si>
  <si>
    <t>unit price is averaged;
Note!: The type of expenditure was arbitrarily selected. Due to Bulgarian public procurement legislation it is possible that this expenditure eventually might fall under the "Costs entailed by other contracts..." category.</t>
  </si>
  <si>
    <t>Hotel abroad for 5 persons for 25 overnights per person</t>
  </si>
  <si>
    <t>Daily subsistence allowance excl. hotel allowance, for 5 persons for 25 days each</t>
  </si>
  <si>
    <t>Training fees for 5 persons</t>
  </si>
  <si>
    <t>trainee</t>
  </si>
  <si>
    <t>Output / Activity 5 "Civil, Commercial, Property Law and Civil Litigation courses for CIAF inspectors with attorney profile"</t>
  </si>
  <si>
    <t>Hotel for (80 + 8) participants incl.breakfast (5 overnights/person)</t>
  </si>
  <si>
    <r>
      <t xml:space="preserve">Different groups of 20 trainees make up for a total of 80 participants. The extra 8 participants are the National Experts providing the training, i.e. 2 experts engaged for a week-long training, times 3 trainings/weeks. Individual experts might overlap across the weeks.
</t>
    </r>
    <r>
      <rPr>
        <b/>
        <i/>
        <sz val="8"/>
        <color rgb="FF000000"/>
        <rFont val="Calibri"/>
        <family val="2"/>
        <charset val="204"/>
        <scheme val="minor"/>
      </rPr>
      <t>Note!: The type of expenditure was arbitrarily selected. Due to Bulgarian public procurement legislation it is possible that this expenditure eventually might fall under the "Costs entailed by other contracts..." category.</t>
    </r>
  </si>
  <si>
    <t>Catering (20 + 2 pers) x 4 = 88 pers x 5 days = 440 meal days</t>
  </si>
  <si>
    <t>Training sessions are based on 6 academic hours per day except for Friday with 3 ac.hours. Thus a week-long training results in 27 hrs. The total is 27 x 4 weeks = 108 academic hours</t>
  </si>
  <si>
    <t>Total 1.6:</t>
  </si>
  <si>
    <t>Output / Activity 6 "Provision of 2 workshops with domestic institutions on current challenges abd setbacks hindering co-operation"</t>
  </si>
  <si>
    <t>Hotel for 5 CIAF participants incl.breakfast (1 overnight/person), mutliplied by 2 (workshops)</t>
  </si>
  <si>
    <t>Rent of equipped event space (30 pers) for 1-day workshop, mutliplied by 2 (workshops)</t>
  </si>
  <si>
    <t>Catering for 30 pers = 30 meal days per workshop, mutliplied by 2 (workshops)</t>
  </si>
  <si>
    <t>Cost of consumables, mutliplied by 2 (workshops)</t>
  </si>
  <si>
    <t>Total 1.7:</t>
  </si>
  <si>
    <t>Output / Activity 7 "Special trainings courses (2 events) on effective management of forfeited/seized assets, provided by foreign experts"</t>
  </si>
  <si>
    <t>Hotel for 5 CIAF participants incl.breakfast (1 overnight/person) for 1-day training; multiplied by 2 (trainings)</t>
  </si>
  <si>
    <t>Rent of equipped event space (32 pers) for 1-day training; multiplied by 2 (trainings)</t>
  </si>
  <si>
    <t>Catering (30 + 2 pers) x 1 day = 32 meal days for 1 training; multiplied by 2 (trainings)</t>
  </si>
  <si>
    <t>Foreign expert fees for 2 persons; multiplied by 2 (trainings)</t>
  </si>
  <si>
    <t>service instance (i.e. one training equals one service)</t>
  </si>
  <si>
    <t>Interpretation services for a total of 2 days</t>
  </si>
  <si>
    <t>Output / Activity 8 "Visits to 2 foreign countries for familiarizing with good practices and asset management models"</t>
  </si>
  <si>
    <t>Travel abroad for 5 persons from BG, multiplied by 2 (countries)</t>
  </si>
  <si>
    <t>Hotel abroad for 5 persons for 3 overnights per person, multiplied by 2 (countries)</t>
  </si>
  <si>
    <t>Daily subsistence allowance excl. hotel allowance, for 5 persons and 4 days each, multiplied by 2 (countries)</t>
  </si>
  <si>
    <t>Total 1.9:</t>
  </si>
  <si>
    <t>Output / Activity 9 "Regional Platform on Asset Recovery with guest countries mainly from SEE/Balkans – networking, knowledge sharing, co-operation on cross-border cases. Two organized events planned (second one optional)."</t>
  </si>
  <si>
    <t>Hotel for 7 foreign participants incl.breakfast (1 overnight/person), mutliplied by 2 (workshops)</t>
  </si>
  <si>
    <t>Travel to BG for 7 foreign participants, mutliplied by 2 (workshops)</t>
  </si>
  <si>
    <t>Rent of equipped event space (30 pers) for 1-day event, mutliplied by 2 (events)</t>
  </si>
  <si>
    <t>Catering for 30 pers = 30 meal days per workshop, mutliplied by 2 (events)</t>
  </si>
  <si>
    <t>Cost of consumables, mutliplied by 2 (events)</t>
  </si>
  <si>
    <t>Total 1.10:</t>
  </si>
  <si>
    <t>Output / Activity 10</t>
  </si>
  <si>
    <t>English language training courses</t>
  </si>
  <si>
    <t>trainess</t>
  </si>
  <si>
    <t>Total 1.11:</t>
  </si>
  <si>
    <t>Output / Activity 11</t>
  </si>
  <si>
    <t>Microsoft Office training courses</t>
  </si>
  <si>
    <t>Total 1.12:</t>
  </si>
  <si>
    <t>Output / Activity 12 - "HARD" MEASURES</t>
  </si>
  <si>
    <t xml:space="preserve">ICT equipment and software components are normally integrated in unified solutions for the customer. As a result, the budget for this activity should be treated as including the cost of any kind of software components, working hand-in-hand with equipment in the presented list. </t>
  </si>
  <si>
    <t>Personal computers incl. monitors (min. 50 units, exact number determined at procurement time)</t>
  </si>
  <si>
    <t>the entire set of PCs</t>
  </si>
  <si>
    <t>All-in-one (copy/print/scan) multifunction printers (min. 24 units, exact number determined at procurement time)</t>
  </si>
  <si>
    <t>the entire set of multifunctions</t>
  </si>
  <si>
    <t>E-mail server system</t>
  </si>
  <si>
    <t>units</t>
  </si>
  <si>
    <t>A set of TEMPEST computer stations (incl. printer and other elements) - numbers determined at procurement time</t>
  </si>
  <si>
    <t>the entire set</t>
  </si>
  <si>
    <t>A set of cybersecurity components for newtwork purposes incl. the integrating server (number of components determined at procurement time)</t>
  </si>
  <si>
    <t>A set of archiving/backup equipments (may consist of many  and various components)</t>
  </si>
  <si>
    <t>Software applications for data analysis/intelligence</t>
  </si>
  <si>
    <t>Total 1.13:</t>
  </si>
  <si>
    <t>Output / Activity 13</t>
  </si>
  <si>
    <t>Total 1.14:</t>
  </si>
  <si>
    <t>All Outputs/Activities ….</t>
  </si>
  <si>
    <t>Percentage of total</t>
  </si>
  <si>
    <t>Hard measures</t>
  </si>
  <si>
    <t>CDBP expert</t>
  </si>
  <si>
    <t>= [SAR (1 273 000 direct + 85 706 indirect) + GDBP 94 435 total+ DM 54 204 total]</t>
  </si>
  <si>
    <t>[Programme acronym]</t>
  </si>
  <si>
    <t>PDP 6 title: Improvement capacity of police and forensic activity dealing with material evidence in pre-trial investigation process</t>
  </si>
  <si>
    <t>Delivery of 10 mobile forensic technical laboratories, including 10 forensic briegcases,  10 3D laser capture scene scanners with post-processing</t>
  </si>
  <si>
    <t>4 five-day seminars per diem for 50 experts and 7 Bulg. Lecturers + 1 organisation staff x 5 days x 4 seminars</t>
  </si>
  <si>
    <t>4 five-day seminars accommodation for 50 experts and 7 Bulg. Lecturers + 1 organisation staff x 4 nights x 4 seminars</t>
  </si>
  <si>
    <t>Fees for 7 Bulgarian lecturers x 4 days x 4 seminars</t>
  </si>
  <si>
    <t>Room and technical equipment rental for 5 days x 4 seminars</t>
  </si>
  <si>
    <t>coffee-breaks for 58 participants x 5 days x 4 seminars - 2 coffee-breaks per day</t>
  </si>
  <si>
    <t>4 five-day seminars DSA for 1 MS lecturer x 2 days x 4 seminars</t>
  </si>
  <si>
    <t>4 five-day seminars fees for 1 MS lecturer x 2 days x 4 seminars</t>
  </si>
  <si>
    <t>4 five-day seminars flights for 1 MS lecturer x 4 seminars</t>
  </si>
  <si>
    <t>4 five-day seminars interpretation fees for 2 interpreters for 2 days x 4 seminars</t>
  </si>
  <si>
    <t>27-day Training Study visit to MS, per diem for 10 Bulg. experts and 2 interpreters x 27 days</t>
  </si>
  <si>
    <t>27-day Training Study visit to MS, accommodation for 10 Bulg. experts and 2 interpreters x 26 nights</t>
  </si>
  <si>
    <t>Flights for 10 Bulg. experts and 2 interpreters</t>
  </si>
  <si>
    <t>Internal transportation in MS for 10 Bulg. experts and 2 interpreter</t>
  </si>
  <si>
    <t>Room and technical equipment rental for 20 days during the training study visit</t>
  </si>
  <si>
    <t>Interpretation fees for 2 interpreters for 27 days during the training study visit</t>
  </si>
  <si>
    <t>Elaboration and hardware delivery for IT system for registering and tracking seized material evidence including 3-year maintenance of the system. Delivery of supplies for system exploitation - envelopes, labels etc.</t>
  </si>
  <si>
    <t xml:space="preserve">Activity  1 </t>
  </si>
  <si>
    <t>A1 Fees for 2 experts for Elaboration of risk assessment</t>
  </si>
  <si>
    <t>Activity  2</t>
  </si>
  <si>
    <t>A2.1 Two three-day seminars training the trainers per diem for 39 experts, 4 Bulg. Lecturers + 1 organization staff x 3 days x 2 seminars</t>
  </si>
  <si>
    <t>A2.1 Two three-day seminars training the trainers accommodation for 39 experts and 4 Bulg. Lecturers + 1 organization staff x 2 nights x 2 seminars</t>
  </si>
  <si>
    <t>A2.1 Internal Transport for 39 experts and 4 Bulg. Lecturers + 1 organization staff x 2 seminars</t>
  </si>
  <si>
    <t>A2.1 Room and technical equipment rental for 3 days x 2 seminars</t>
  </si>
  <si>
    <t>A2.1 coffe-breaks for 45 participants x 3 days x 2 seminars - 2 coffee-breaks per day</t>
  </si>
  <si>
    <t>A2.1 Fees for 4 Bulgarian lecturers x 2 days x 2 seminars</t>
  </si>
  <si>
    <t>A2.1 Interpreter fees for 3 days x 2 seminars</t>
  </si>
  <si>
    <t>A2.1 DSA for 2 specified foreign experts for 2 days x 2 seminars</t>
  </si>
  <si>
    <t>A2.1 flights for 2 specified foreign experts for 2 days x 2 seminars</t>
  </si>
  <si>
    <t>A2.1 fees for 2 specified foreign experts for 2 days x 2 seminars</t>
  </si>
  <si>
    <t>A2.1 Eight three-day seminars training the trainers per diem for 39 experts, 4 Bulgarian lecturers and 2 trainers x 3 days x 8 seminars</t>
  </si>
  <si>
    <t>A2.2 Eight three-day seminars training the trainers accommodation for 39 experts, 4 Bulgarian lecturers and 2 trainers x 2 nights x 8 seminars</t>
  </si>
  <si>
    <t>A2.2 Internal Transport for 39 experts, 4 Bulgarian lecturers and 2 trainers x 8 seminars</t>
  </si>
  <si>
    <t>A2.2 Room and technical equipment rental for 3 days x 8 seminars</t>
  </si>
  <si>
    <t>A2.2 Fees for 4 Bulgarian lecturers x 2 days x 8 seminars</t>
  </si>
  <si>
    <t>A2.2 coffe-breaks for 45 participants x 3 days x 8 seminars - 2 coffee-breaks per day</t>
  </si>
  <si>
    <t>Activity 3</t>
  </si>
  <si>
    <t xml:space="preserve">Activity  4 </t>
  </si>
  <si>
    <t xml:space="preserve">Activity  5 </t>
  </si>
  <si>
    <t>Activity 6</t>
  </si>
  <si>
    <t>A 6.1 Two three-day seminars training the trainers per diem for 40 experts and 4 Bulg. Lecturers x 3 days x 2 seminars</t>
  </si>
  <si>
    <t>A 6.1 Two three-day seminars training the trainers accommodation for 40 experts and 4 Bulg. Lecturers x 2 nights x 2 seminars</t>
  </si>
  <si>
    <t>A 6.1 Internal Transport for 40 experts and 4 Bulg. Lecturers x 2 seminars</t>
  </si>
  <si>
    <t>A 6.1 Room and technical equipment rental for 3 days x 2 seminars</t>
  </si>
  <si>
    <t>A 6.1 coffe-breaks for 46 participants x 3 days x 2 seminars - 2 coffee-breaks per day</t>
  </si>
  <si>
    <t>A 6.1 Fees for 4 Bulgarian lecturers x 2 days x 2 seminars</t>
  </si>
  <si>
    <t>A 6.1 Interpreter fees for 3 days x 2 seminars</t>
  </si>
  <si>
    <t>A 3.1 DSA for 2 specified foreignexperts for 2 days x 4 seminars</t>
  </si>
  <si>
    <t>A 6.1 flights for 2 specified foreign experts for 2 days x 2 seminars</t>
  </si>
  <si>
    <t>A 6.1 fees for 2 specified foreign experts for 2 days x 2 seminars</t>
  </si>
  <si>
    <t>A 6.2 Nine three-day seminars training the trainers per diem for 40 experts, 4 Bulgarian lecturers and 2 trainers x 3 days x 9 seminars</t>
  </si>
  <si>
    <t>A 6.2 Nine three-day seminars training the trainers accommodation for 40 experts, 4 Bulgarian lecturers and 2 trainers x 2 nights x 9 seminars</t>
  </si>
  <si>
    <t>A 6.2 Internal Transport for 40 experts, 4 Bulgarian lecturers and 2 trainers x 9 seminars</t>
  </si>
  <si>
    <t>A 6.2 Room and technical equipment rental for 3 days x 9 seminars</t>
  </si>
  <si>
    <t>A 6.2 Fees for 4 Bulgarian lecturers x 2 days x 9 seminars</t>
  </si>
  <si>
    <t>A 6.2 coffe-breaks for 46 participants x 3 days x 9 seminars - 2 coffee-breaks per day</t>
  </si>
  <si>
    <r>
      <t xml:space="preserve">2. INDIRECT COSTS - </t>
    </r>
    <r>
      <rPr>
        <b/>
        <i/>
        <sz val="12"/>
        <color rgb="FFFFFFFF"/>
        <rFont val="Calibri"/>
        <family val="2"/>
        <charset val="204"/>
        <scheme val="minor"/>
      </rPr>
      <t>Reg. Art. 8.5</t>
    </r>
  </si>
  <si>
    <r>
      <t>Total project management cost (</t>
    </r>
    <r>
      <rPr>
        <b/>
        <sz val="12"/>
        <color rgb="FF1F497D"/>
        <rFont val="Calibri"/>
        <family val="2"/>
        <charset val="204"/>
      </rPr>
      <t>€):</t>
    </r>
  </si>
  <si>
    <t>Activity 1</t>
  </si>
  <si>
    <t>Activity 2</t>
  </si>
  <si>
    <t>Activity 4</t>
  </si>
  <si>
    <t>Activity 5</t>
  </si>
  <si>
    <t>A2 Elaboration of software and delivery of hardware for Automated Information System "Domestic violence" for entering, processing and storage the data related to DGBV including 3-year maintenance of the system</t>
  </si>
  <si>
    <t>A 2.2 Two three-day seminars  per diem for 40 experts and 4 Bulg. Lecturers + 1 organization staff x 3 days x 2 seminars</t>
  </si>
  <si>
    <t>A 2.2 Two three-day seminars  accommodation for 40 experts and 4 Bulg. Lecturers + 1 organization staff x 2 nights x 2 seminars</t>
  </si>
  <si>
    <t>A 2.3 Six three-day seminars  per diem for 40 experts, 4 Bulgarian lecturers and 2 trainers + 1 organization staff x 3 days x 6 seminars</t>
  </si>
  <si>
    <t>A 2.3 Six three-day seminars accommodation for 40 experts, 4 Bulgarian lecturers and 2 trainers  + 1 organization staff x 2 nights x 6 seminars</t>
  </si>
  <si>
    <t xml:space="preserve">A 4.2 Fees for 6 Bulgarian experts for Elaboration of lecturing materials part of National Police Program "Work of Police in schools" </t>
  </si>
  <si>
    <t>A 4.5 Printing of lecturing materials for mutual initiatives</t>
  </si>
  <si>
    <t>Hard measures in the Concept Note</t>
  </si>
  <si>
    <t>Total PDP costs</t>
  </si>
  <si>
    <t>Open call</t>
  </si>
  <si>
    <t>Total programme costs</t>
  </si>
  <si>
    <t>Total budget</t>
  </si>
  <si>
    <t>Soft measures</t>
  </si>
  <si>
    <r>
      <t xml:space="preserve">Output 1/ Activity  2 </t>
    </r>
    <r>
      <rPr>
        <sz val="8"/>
        <color rgb="FFFF0000"/>
        <rFont val="Calibri"/>
        <family val="2"/>
        <charset val="204"/>
        <scheme val="minor"/>
      </rPr>
      <t>Training of trainers provided for police officers from structures of MoI located in regions with predominantly Roma population on prevention of ill-treatment by police</t>
    </r>
  </si>
  <si>
    <r>
      <t>Output 1 / Activity  3</t>
    </r>
    <r>
      <rPr>
        <sz val="8"/>
        <color rgb="FFFF0000"/>
        <rFont val="Calibri"/>
        <family val="2"/>
        <charset val="204"/>
        <scheme val="minor"/>
      </rPr>
      <t xml:space="preserve"> Administrative capacity in policing in multicultural society enhanced</t>
    </r>
    <r>
      <rPr>
        <sz val="8"/>
        <color rgb="FF1F497D"/>
        <rFont val="Calibri"/>
        <family val="2"/>
        <scheme val="minor"/>
      </rPr>
      <t xml:space="preserve"> </t>
    </r>
  </si>
  <si>
    <t>Fees for 3 MoI autors of the manual and curricula (45 days work for a autor)</t>
  </si>
  <si>
    <t>Fees for 3 MoI autors of the study (45 days work for a autor)</t>
  </si>
  <si>
    <t>Fees for 3 MoI autors of the curricula (15 days work for a autor)</t>
  </si>
  <si>
    <t>Internal Security Directorate of the Ministry of Interior (ISD)</t>
  </si>
  <si>
    <t>General Directorate National Police (GDNP)</t>
  </si>
  <si>
    <t>Cost of staff assigned to the project - 6 people (ISD)</t>
  </si>
  <si>
    <t>Staff insurance - 6 persons  (ISD)</t>
  </si>
  <si>
    <t>Project Manager / 6 hours per day</t>
  </si>
  <si>
    <t>Coordinator BRC / 6 hours per day</t>
  </si>
  <si>
    <t>Coordinator SAR / 1,5 hours per day</t>
  </si>
  <si>
    <t>Financial officer   / 6 hours per day</t>
  </si>
  <si>
    <t>Financial supervisor</t>
  </si>
  <si>
    <t xml:space="preserve">Project Assistant part time - BRC and SACP </t>
  </si>
  <si>
    <t xml:space="preserve">Human resource officer </t>
  </si>
  <si>
    <r>
      <t xml:space="preserve">This will ensure an interim care solution in order to apply to each case the best interest determination and refugee status determination procedure (RSDP). Establishment of an Interim Care Facility for unaccompanied and separated migrant children with a capacity of 50 places, where those children identified as UASC could be accommodated for a period of up </t>
    </r>
    <r>
      <rPr>
        <b/>
        <u/>
        <sz val="8"/>
        <color rgb="FF000000"/>
        <rFont val="Calibri"/>
        <family val="2"/>
        <charset val="204"/>
        <scheme val="minor"/>
      </rPr>
      <t>t</t>
    </r>
    <r>
      <rPr>
        <b/>
        <u/>
        <sz val="8"/>
        <color rgb="FFFF0000"/>
        <rFont val="Calibri"/>
        <family val="2"/>
        <charset val="204"/>
        <scheme val="minor"/>
      </rPr>
      <t xml:space="preserve">o 3 months with a possible extension up to 6 months </t>
    </r>
    <r>
      <rPr>
        <sz val="8"/>
        <color rgb="FF000000"/>
        <rFont val="Calibri"/>
        <family val="2"/>
        <scheme val="minor"/>
      </rPr>
      <t xml:space="preserve">Establishment of facility, guidelines, standard operating procedures </t>
    </r>
  </si>
  <si>
    <t>Driver - 2 persons</t>
  </si>
  <si>
    <t>International Organization for Migration (IOM)</t>
  </si>
  <si>
    <t xml:space="preserve">Office space including maintance and consumables </t>
  </si>
  <si>
    <t xml:space="preserve">Supplies and materials  </t>
  </si>
  <si>
    <t xml:space="preserve">Information and publicity </t>
  </si>
  <si>
    <t xml:space="preserve">Communication cost </t>
  </si>
  <si>
    <t>Post expenditures</t>
  </si>
  <si>
    <t xml:space="preserve">Elaboration of a comprehensive analysis/assessment of the situation of the Roma population as regard the migration related issues to better target the topics to be tackled </t>
  </si>
  <si>
    <t xml:space="preserve">Outreach support in data collection in Roma communities </t>
  </si>
  <si>
    <t>Conference  to disscuss the results from the  comprehensive analysis/assessment with participation of national public authorities and NGOs (room rental, equipment rental, cateering, materials etc)</t>
  </si>
  <si>
    <t>Elaboration of Comunication Strategy for awareness raising campaigns to be carried out</t>
  </si>
  <si>
    <t>Design and production of information materials</t>
  </si>
  <si>
    <t xml:space="preserve">Experts DSA for participation in events  </t>
  </si>
  <si>
    <t xml:space="preserve">Experts travel costs for participation in events </t>
  </si>
  <si>
    <t xml:space="preserve">Operational expert  - 100 %  </t>
  </si>
  <si>
    <t xml:space="preserve"> Outreach support in implemеnting an info campaign in Roma communities</t>
  </si>
  <si>
    <t xml:space="preserve">Purchaise of desck top PC station including licenses </t>
  </si>
  <si>
    <t>Purchaise of laptop with monotor and docking station including licenses</t>
  </si>
  <si>
    <t>Purchaise of multimedia device and screen</t>
  </si>
  <si>
    <t>Purchaise of printer</t>
  </si>
  <si>
    <t>Pre-deployment training for mediators preparation of fieldwork</t>
  </si>
  <si>
    <t xml:space="preserve">Travel of expert(s) for pre-deployment training  </t>
  </si>
  <si>
    <t xml:space="preserve">DSA of expert(s) for pre-deployment training  </t>
  </si>
  <si>
    <t>Information session, discussions, workshops and other awareness raising activities (room rental, equipment rental, cateering, materials for participants, etc)</t>
  </si>
  <si>
    <t>Outreach support in preparation and organisation of info events in Roma communities</t>
  </si>
  <si>
    <t xml:space="preserve">Experts DSA for participation in events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</si>
</sst>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_(* \(#,##0\);_(* &quot;-&quot;_);_(@_)"/>
    <numFmt numFmtId="165" formatCode="_(&quot;$&quot;* #,##0.00_);_(&quot;$&quot;* \(#,##0.00\);_(&quot;$&quot;* &quot;-&quot;??_);_(@_)"/>
    <numFmt numFmtId="166" formatCode="_(* #,##0.00_);_(* \(#,##0.00\);_(* &quot;-&quot;??_);_(@_)"/>
    <numFmt numFmtId="167" formatCode="_-* #,##0.00_-;\-* #,##0.00_-;_-* &quot;-&quot;??_-;_-@_-"/>
    <numFmt numFmtId="168" formatCode="_ * #,##0.00_ ;_ * \-#,##0.00_ ;_ * &quot;-&quot;??_ ;_ @_ "/>
    <numFmt numFmtId="169" formatCode="_ [$€-2]\ * #,##0.00_ ;_ [$€-2]\ * \-#,##0.00_ ;_ [$€-2]\ * &quot;-&quot;??_ "/>
    <numFmt numFmtId="170" formatCode="_(&quot;$&quot;\ * #,##0.00_);_(&quot;$&quot;\ * \(#,##0.00\);_(&quot;$&quot;\ * &quot;-&quot;??_);_(@_)"/>
    <numFmt numFmtId="171" formatCode="[$€-2]\ #,##0;[Red]\-[$€-2]\ #,##0"/>
    <numFmt numFmtId="172" formatCode="#,##0\ [$€-1];[Red]\-#,##0\ [$€-1]"/>
    <numFmt numFmtId="173" formatCode="#,##0.00\ [$€-1];[Red]\-#,##0.00\ [$€-1]"/>
    <numFmt numFmtId="174" formatCode="#,##0.0"/>
    <numFmt numFmtId="175" formatCode="#,##0_ ;\-#,##0\ "/>
  </numFmts>
  <fonts count="114" x14ac:knownFonts="1">
    <font>
      <sz val="11"/>
      <color theme="1"/>
      <name val="Calibri"/>
      <family val="2"/>
      <scheme val="minor"/>
    </font>
    <font>
      <sz val="11"/>
      <color theme="1"/>
      <name val="Calibri"/>
      <family val="2"/>
      <scheme val="minor"/>
    </font>
    <font>
      <sz val="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theme="1"/>
      <name val="Calibri"/>
      <family val="2"/>
      <scheme val="minor"/>
    </font>
    <font>
      <sz val="10"/>
      <color theme="1"/>
      <name val="Calibri"/>
      <family val="2"/>
      <scheme val="minor"/>
    </font>
    <font>
      <b/>
      <sz val="8"/>
      <color rgb="FF002060"/>
      <name val="Calibri"/>
      <family val="2"/>
      <scheme val="minor"/>
    </font>
    <font>
      <i/>
      <sz val="8"/>
      <color rgb="FF002060"/>
      <name val="Calibri"/>
      <family val="2"/>
      <scheme val="minor"/>
    </font>
    <font>
      <sz val="8"/>
      <color rgb="FF002060"/>
      <name val="Calibri"/>
      <family val="2"/>
      <scheme val="minor"/>
    </font>
    <font>
      <b/>
      <sz val="8"/>
      <color rgb="FFFFFFFF"/>
      <name val="Calibri"/>
      <family val="2"/>
      <scheme val="minor"/>
    </font>
    <font>
      <b/>
      <i/>
      <sz val="8"/>
      <color rgb="FFFFFFFF"/>
      <name val="Calibri"/>
      <family val="2"/>
      <scheme val="minor"/>
    </font>
    <font>
      <sz val="8"/>
      <color rgb="FF1F497D"/>
      <name val="Calibri"/>
      <family val="2"/>
      <scheme val="minor"/>
    </font>
    <font>
      <i/>
      <sz val="8"/>
      <color rgb="FF1F497D"/>
      <name val="Calibri"/>
      <family val="2"/>
      <scheme val="minor"/>
    </font>
    <font>
      <i/>
      <sz val="8"/>
      <color rgb="FF000000"/>
      <name val="Calibri"/>
      <family val="2"/>
      <scheme val="minor"/>
    </font>
    <font>
      <i/>
      <sz val="7"/>
      <color rgb="FF002060"/>
      <name val="Calibri"/>
      <family val="2"/>
      <scheme val="minor"/>
    </font>
    <font>
      <sz val="8"/>
      <color rgb="FF000000"/>
      <name val="Calibri"/>
      <family val="2"/>
      <scheme val="minor"/>
    </font>
    <font>
      <sz val="8"/>
      <color rgb="FFFF0000"/>
      <name val="Calibri"/>
      <family val="2"/>
      <scheme val="minor"/>
    </font>
    <font>
      <b/>
      <sz val="8"/>
      <color rgb="FF1F497D"/>
      <name val="Calibri"/>
      <family val="2"/>
      <scheme val="minor"/>
    </font>
    <font>
      <b/>
      <sz val="8"/>
      <color theme="1"/>
      <name val="Calibri"/>
      <family val="2"/>
      <scheme val="minor"/>
    </font>
    <font>
      <sz val="8"/>
      <color theme="1"/>
      <name val="Calibri"/>
      <family val="2"/>
      <scheme val="minor"/>
    </font>
    <font>
      <b/>
      <sz val="11"/>
      <color theme="3"/>
      <name val="Calibri"/>
      <family val="2"/>
      <scheme val="minor"/>
    </font>
    <font>
      <b/>
      <sz val="8"/>
      <color rgb="FF1F497D"/>
      <name val="Calibri"/>
      <family val="2"/>
    </font>
    <font>
      <b/>
      <sz val="8"/>
      <color rgb="FF000000"/>
      <name val="Calibri"/>
      <family val="2"/>
      <charset val="204"/>
      <scheme val="minor"/>
    </font>
    <font>
      <b/>
      <sz val="8"/>
      <color theme="1"/>
      <name val="Calibri"/>
      <family val="2"/>
      <charset val="204"/>
      <scheme val="minor"/>
    </font>
    <font>
      <b/>
      <i/>
      <sz val="8"/>
      <color rgb="FF000000"/>
      <name val="Calibri"/>
      <family val="2"/>
      <charset val="204"/>
      <scheme val="minor"/>
    </font>
    <font>
      <i/>
      <sz val="7"/>
      <color rgb="FF000000"/>
      <name val="Calibri"/>
      <family val="2"/>
      <charset val="204"/>
      <scheme val="minor"/>
    </font>
    <font>
      <b/>
      <sz val="11"/>
      <color rgb="FF002060"/>
      <name val="Calibri"/>
      <family val="2"/>
      <scheme val="minor"/>
    </font>
    <font>
      <i/>
      <sz val="11"/>
      <color rgb="FF002060"/>
      <name val="Calibri"/>
      <family val="2"/>
      <scheme val="minor"/>
    </font>
    <font>
      <sz val="11"/>
      <color rgb="FF002060"/>
      <name val="Calibri"/>
      <family val="2"/>
      <scheme val="minor"/>
    </font>
    <font>
      <b/>
      <i/>
      <sz val="8"/>
      <color indexed="9"/>
      <name val="Calibri"/>
      <family val="2"/>
    </font>
    <font>
      <i/>
      <sz val="12"/>
      <color rgb="FF000000"/>
      <name val="Calibri"/>
      <family val="2"/>
      <scheme val="minor"/>
    </font>
    <font>
      <i/>
      <sz val="12"/>
      <color rgb="FF002060"/>
      <name val="Calibri"/>
      <family val="2"/>
      <scheme val="minor"/>
    </font>
    <font>
      <sz val="12"/>
      <color rgb="FF000000"/>
      <name val="Calibri"/>
      <family val="2"/>
      <scheme val="minor"/>
    </font>
    <font>
      <sz val="12"/>
      <color rgb="FF1F497D"/>
      <name val="Calibri"/>
      <family val="2"/>
      <scheme val="minor"/>
    </font>
    <font>
      <sz val="12"/>
      <color rgb="FF000000"/>
      <name val="Calibri"/>
      <family val="2"/>
      <charset val="204"/>
      <scheme val="minor"/>
    </font>
    <font>
      <i/>
      <sz val="12"/>
      <color rgb="FF002060"/>
      <name val="Calibri"/>
      <family val="2"/>
      <charset val="204"/>
      <scheme val="minor"/>
    </font>
    <font>
      <sz val="12"/>
      <name val="Calibri"/>
      <family val="2"/>
      <charset val="204"/>
      <scheme val="minor"/>
    </font>
    <font>
      <i/>
      <sz val="12"/>
      <name val="Calibri"/>
      <family val="2"/>
      <charset val="204"/>
      <scheme val="minor"/>
    </font>
    <font>
      <i/>
      <sz val="12"/>
      <color rgb="FF000000"/>
      <name val="Calibri"/>
      <family val="2"/>
      <charset val="204"/>
      <scheme val="minor"/>
    </font>
    <font>
      <b/>
      <sz val="12"/>
      <color rgb="FF1F497D"/>
      <name val="Calibri"/>
      <family val="2"/>
      <scheme val="minor"/>
    </font>
    <font>
      <b/>
      <sz val="12"/>
      <color theme="1"/>
      <name val="Calibri"/>
      <family val="2"/>
      <scheme val="minor"/>
    </font>
    <font>
      <b/>
      <sz val="12"/>
      <color theme="1"/>
      <name val="Calibri"/>
      <family val="2"/>
      <charset val="204"/>
      <scheme val="minor"/>
    </font>
    <font>
      <b/>
      <sz val="8"/>
      <color indexed="56"/>
      <name val="Calibri"/>
      <family val="2"/>
    </font>
    <font>
      <sz val="12"/>
      <color rgb="FF002060"/>
      <name val="Calibri"/>
      <family val="2"/>
      <charset val="204"/>
      <scheme val="minor"/>
    </font>
    <font>
      <b/>
      <sz val="12"/>
      <color rgb="FF000000"/>
      <name val="Calibri"/>
      <family val="2"/>
      <charset val="204"/>
      <scheme val="minor"/>
    </font>
    <font>
      <i/>
      <sz val="8"/>
      <name val="Calibri"/>
      <family val="2"/>
      <scheme val="minor"/>
    </font>
    <font>
      <sz val="8"/>
      <color rgb="FF000000"/>
      <name val="Calibri"/>
      <family val="2"/>
      <charset val="204"/>
      <scheme val="minor"/>
    </font>
    <font>
      <sz val="8"/>
      <color theme="1"/>
      <name val="Calibri"/>
      <family val="2"/>
      <charset val="204"/>
      <scheme val="minor"/>
    </font>
    <font>
      <b/>
      <sz val="10"/>
      <color theme="1"/>
      <name val="Calibri"/>
      <family val="2"/>
      <charset val="204"/>
      <scheme val="minor"/>
    </font>
    <font>
      <sz val="8"/>
      <color indexed="8"/>
      <name val="Calibri"/>
      <family val="2"/>
      <charset val="204"/>
    </font>
    <font>
      <i/>
      <sz val="8"/>
      <color rgb="FF000000"/>
      <name val="Calibri"/>
      <family val="2"/>
      <charset val="204"/>
      <scheme val="minor"/>
    </font>
    <font>
      <sz val="8"/>
      <name val="Calibri"/>
      <family val="2"/>
      <charset val="204"/>
    </font>
    <font>
      <sz val="8"/>
      <color rgb="FF1F497D"/>
      <name val="Calibri"/>
      <family val="2"/>
      <charset val="204"/>
      <scheme val="minor"/>
    </font>
    <font>
      <sz val="8"/>
      <color rgb="FFFF0000"/>
      <name val="Calibri"/>
      <family val="2"/>
      <charset val="204"/>
      <scheme val="minor"/>
    </font>
    <font>
      <sz val="8"/>
      <color rgb="FF002060"/>
      <name val="Calibri"/>
      <family val="2"/>
      <charset val="204"/>
      <scheme val="minor"/>
    </font>
    <font>
      <b/>
      <sz val="8"/>
      <color rgb="FFFFFFFF"/>
      <name val="Calibri"/>
      <family val="2"/>
      <charset val="204"/>
      <scheme val="minor"/>
    </font>
    <font>
      <b/>
      <i/>
      <sz val="7"/>
      <color rgb="FF002060"/>
      <name val="Calibri"/>
      <family val="2"/>
      <charset val="204"/>
      <scheme val="minor"/>
    </font>
    <font>
      <i/>
      <sz val="11"/>
      <color theme="1"/>
      <name val="Calibri"/>
      <family val="2"/>
      <scheme val="minor"/>
    </font>
    <font>
      <sz val="8"/>
      <name val="Calibri"/>
      <family val="2"/>
      <scheme val="minor"/>
    </font>
    <font>
      <i/>
      <sz val="7"/>
      <name val="Calibri"/>
      <family val="2"/>
      <scheme val="minor"/>
    </font>
    <font>
      <b/>
      <sz val="11"/>
      <color rgb="FF1F497D"/>
      <name val="Calibri"/>
      <family val="2"/>
      <charset val="204"/>
      <scheme val="minor"/>
    </font>
    <font>
      <sz val="11"/>
      <color theme="1"/>
      <name val="Calibri"/>
      <family val="2"/>
    </font>
    <font>
      <sz val="9"/>
      <color rgb="FF1F497D"/>
      <name val="Calibri"/>
      <family val="2"/>
      <scheme val="minor"/>
    </font>
    <font>
      <sz val="9"/>
      <color rgb="FF000000"/>
      <name val="Calibri"/>
      <family val="2"/>
      <scheme val="minor"/>
    </font>
    <font>
      <i/>
      <sz val="9"/>
      <color rgb="FF000000"/>
      <name val="Calibri"/>
      <family val="2"/>
      <scheme val="minor"/>
    </font>
    <font>
      <i/>
      <sz val="8"/>
      <color rgb="FF002060"/>
      <name val="Calibri"/>
      <family val="2"/>
      <charset val="204"/>
      <scheme val="minor"/>
    </font>
    <font>
      <i/>
      <sz val="8"/>
      <name val="Calibri"/>
      <family val="2"/>
      <charset val="204"/>
      <scheme val="minor"/>
    </font>
    <font>
      <b/>
      <sz val="11"/>
      <color theme="1"/>
      <name val="Calibri"/>
      <family val="2"/>
      <charset val="204"/>
      <scheme val="minor"/>
    </font>
    <font>
      <i/>
      <sz val="7"/>
      <color rgb="FF002060"/>
      <name val="Calibri"/>
      <family val="2"/>
      <charset val="204"/>
      <scheme val="minor"/>
    </font>
    <font>
      <b/>
      <sz val="11"/>
      <color rgb="FFFFFFFF"/>
      <name val="Calibri"/>
      <family val="2"/>
      <charset val="204"/>
      <scheme val="minor"/>
    </font>
    <font>
      <i/>
      <sz val="8"/>
      <color theme="3"/>
      <name val="Calibri"/>
      <family val="2"/>
      <charset val="204"/>
      <scheme val="minor"/>
    </font>
    <font>
      <sz val="8"/>
      <name val="Calibri"/>
      <family val="2"/>
      <charset val="204"/>
      <scheme val="minor"/>
    </font>
    <font>
      <sz val="11"/>
      <color theme="4" tint="0.59999389629810485"/>
      <name val="Calibri"/>
      <family val="2"/>
      <scheme val="minor"/>
    </font>
    <font>
      <sz val="11"/>
      <color rgb="FF000000"/>
      <name val="Calibri"/>
      <family val="2"/>
      <charset val="204"/>
      <scheme val="minor"/>
    </font>
    <font>
      <b/>
      <sz val="8"/>
      <color rgb="FF1F497D"/>
      <name val="Calibri"/>
      <family val="2"/>
      <charset val="204"/>
      <scheme val="minor"/>
    </font>
    <font>
      <sz val="11"/>
      <color rgb="FFFF0000"/>
      <name val="Calibri"/>
      <family val="2"/>
      <scheme val="minor"/>
    </font>
    <font>
      <i/>
      <sz val="8"/>
      <color indexed="8"/>
      <name val="Calibri"/>
      <family val="2"/>
    </font>
    <font>
      <sz val="7"/>
      <color rgb="FF002060"/>
      <name val="Calibri"/>
      <family val="2"/>
      <charset val="204"/>
      <scheme val="minor"/>
    </font>
    <font>
      <b/>
      <sz val="11"/>
      <color theme="0"/>
      <name val="Calibri"/>
      <family val="2"/>
      <charset val="204"/>
      <scheme val="minor"/>
    </font>
    <font>
      <b/>
      <sz val="12"/>
      <color rgb="FF002060"/>
      <name val="Calibri"/>
      <family val="2"/>
      <scheme val="minor"/>
    </font>
    <font>
      <sz val="12"/>
      <color rgb="FF002060"/>
      <name val="Calibri"/>
      <family val="2"/>
      <scheme val="minor"/>
    </font>
    <font>
      <sz val="12"/>
      <color indexed="8"/>
      <name val="Calibri"/>
      <family val="2"/>
    </font>
    <font>
      <sz val="12"/>
      <name val="Calibri"/>
      <family val="2"/>
    </font>
    <font>
      <sz val="12"/>
      <color rgb="FF1F497D"/>
      <name val="Calibri"/>
      <family val="2"/>
      <charset val="204"/>
      <scheme val="minor"/>
    </font>
    <font>
      <sz val="12"/>
      <color indexed="8"/>
      <name val="Calibri"/>
      <family val="2"/>
      <charset val="204"/>
    </font>
    <font>
      <sz val="12"/>
      <color theme="3"/>
      <name val="Calibri"/>
      <family val="2"/>
      <scheme val="minor"/>
    </font>
    <font>
      <sz val="12"/>
      <color theme="3"/>
      <name val="Calibri"/>
      <family val="2"/>
      <charset val="204"/>
      <scheme val="minor"/>
    </font>
    <font>
      <b/>
      <sz val="12"/>
      <color rgb="FF1F497D"/>
      <name val="Calibri"/>
      <family val="2"/>
      <charset val="204"/>
      <scheme val="minor"/>
    </font>
    <font>
      <b/>
      <sz val="12"/>
      <color rgb="FFFFFFFF"/>
      <name val="Calibri"/>
      <family val="2"/>
      <charset val="204"/>
      <scheme val="minor"/>
    </font>
    <font>
      <b/>
      <i/>
      <sz val="12"/>
      <color rgb="FFFFFFFF"/>
      <name val="Calibri"/>
      <family val="2"/>
      <charset val="204"/>
      <scheme val="minor"/>
    </font>
    <font>
      <sz val="12"/>
      <color theme="1"/>
      <name val="Calibri"/>
      <family val="2"/>
      <charset val="204"/>
      <scheme val="minor"/>
    </font>
    <font>
      <b/>
      <sz val="12"/>
      <color rgb="FF1F497D"/>
      <name val="Calibri"/>
      <family val="2"/>
      <charset val="204"/>
    </font>
    <font>
      <b/>
      <sz val="12"/>
      <color rgb="FF002060"/>
      <name val="Calibri"/>
      <family val="2"/>
      <charset val="204"/>
      <scheme val="minor"/>
    </font>
    <font>
      <sz val="11"/>
      <name val="Calibri"/>
      <family val="2"/>
      <charset val="204"/>
      <scheme val="minor"/>
    </font>
    <font>
      <b/>
      <u/>
      <sz val="8"/>
      <color rgb="FF000000"/>
      <name val="Calibri"/>
      <family val="2"/>
      <charset val="204"/>
      <scheme val="minor"/>
    </font>
    <font>
      <b/>
      <u/>
      <sz val="8"/>
      <color rgb="FFFF0000"/>
      <name val="Calibri"/>
      <family val="2"/>
      <charset val="204"/>
      <scheme val="minor"/>
    </font>
    <font>
      <sz val="7"/>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rgb="FF4F81BD"/>
        <bgColor indexed="64"/>
      </patternFill>
    </fill>
    <fill>
      <patternFill patternType="solid">
        <fgColor rgb="FF95B3D7"/>
        <bgColor indexed="64"/>
      </patternFill>
    </fill>
    <fill>
      <patternFill patternType="solid">
        <fgColor rgb="FFFFFFFF"/>
        <bgColor indexed="64"/>
      </patternFill>
    </fill>
    <fill>
      <patternFill patternType="solid">
        <fgColor rgb="FFDCE6F1"/>
        <bgColor indexed="64"/>
      </patternFill>
    </fill>
    <fill>
      <patternFill patternType="solid">
        <fgColor theme="0"/>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theme="6" tint="0.39997558519241921"/>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FFFFFF"/>
      </left>
      <right/>
      <top/>
      <bottom/>
      <diagonal/>
    </border>
    <border>
      <left style="medium">
        <color indexed="64"/>
      </left>
      <right style="medium">
        <color rgb="FFFFFFFF"/>
      </right>
      <top style="medium">
        <color indexed="64"/>
      </top>
      <bottom/>
      <diagonal/>
    </border>
    <border>
      <left style="medium">
        <color indexed="64"/>
      </left>
      <right/>
      <top style="medium">
        <color indexed="64"/>
      </top>
      <bottom style="medium">
        <color indexed="64"/>
      </bottom>
      <diagonal/>
    </border>
    <border>
      <left style="medium">
        <color rgb="FFFFFFFF"/>
      </left>
      <right style="medium">
        <color rgb="FFFFFFFF"/>
      </right>
      <top style="medium">
        <color indexed="64"/>
      </top>
      <bottom/>
      <diagonal/>
    </border>
    <border>
      <left style="medium">
        <color rgb="FFFFFFFF"/>
      </left>
      <right style="medium">
        <color indexed="64"/>
      </right>
      <top style="medium">
        <color indexed="64"/>
      </top>
      <bottom/>
      <diagonal/>
    </border>
    <border>
      <left style="medium">
        <color indexed="64"/>
      </left>
      <right/>
      <top style="medium">
        <color rgb="FFFFFFFF"/>
      </top>
      <bottom style="medium">
        <color rgb="FFFFFFFF"/>
      </bottom>
      <diagonal/>
    </border>
    <border>
      <left/>
      <right/>
      <top style="medium">
        <color rgb="FFFFFFFF"/>
      </top>
      <bottom style="medium">
        <color rgb="FFFFFFFF"/>
      </bottom>
      <diagonal/>
    </border>
    <border>
      <left style="medium">
        <color indexed="64"/>
      </left>
      <right/>
      <top style="medium">
        <color rgb="FFFFFFFF"/>
      </top>
      <bottom style="medium">
        <color indexed="64"/>
      </bottom>
      <diagonal/>
    </border>
    <border>
      <left/>
      <right/>
      <top style="medium">
        <color rgb="FFFFFFFF"/>
      </top>
      <bottom style="medium">
        <color indexed="64"/>
      </bottom>
      <diagonal/>
    </border>
    <border>
      <left/>
      <right style="medium">
        <color rgb="FF000000"/>
      </right>
      <top style="medium">
        <color indexed="64"/>
      </top>
      <bottom style="medium">
        <color indexed="64"/>
      </bottom>
      <diagonal/>
    </border>
    <border>
      <left/>
      <right style="medium">
        <color indexed="64"/>
      </right>
      <top style="medium">
        <color rgb="FFFFFFFF"/>
      </top>
      <bottom style="medium">
        <color rgb="FFFFFFFF"/>
      </bottom>
      <diagonal/>
    </border>
    <border>
      <left/>
      <right style="medium">
        <color indexed="64"/>
      </right>
      <top style="medium">
        <color rgb="FFFFFFFF"/>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FFFFFF"/>
      </right>
      <top style="medium">
        <color indexed="64"/>
      </top>
      <bottom style="medium">
        <color indexed="64"/>
      </bottom>
      <diagonal/>
    </border>
    <border diagonalDown="1">
      <left style="medium">
        <color indexed="64"/>
      </left>
      <right style="medium">
        <color indexed="64"/>
      </right>
      <top style="medium">
        <color indexed="64"/>
      </top>
      <bottom style="medium">
        <color indexed="64"/>
      </bottom>
      <diagonal style="hair">
        <color theme="0"/>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diagonalDown="1">
      <left style="medium">
        <color indexed="64"/>
      </left>
      <right style="medium">
        <color indexed="64"/>
      </right>
      <top style="medium">
        <color indexed="64"/>
      </top>
      <bottom/>
      <diagonal style="thin">
        <color rgb="FFFFFFFF"/>
      </diagonal>
    </border>
    <border diagonalDown="1">
      <left style="medium">
        <color indexed="64"/>
      </left>
      <right style="medium">
        <color indexed="64"/>
      </right>
      <top/>
      <bottom style="medium">
        <color indexed="64"/>
      </bottom>
      <diagonal style="thin">
        <color rgb="FFFFFFFF"/>
      </diagonal>
    </border>
    <border>
      <left style="medium">
        <color indexed="64"/>
      </left>
      <right style="medium">
        <color indexed="64"/>
      </right>
      <top style="medium">
        <color indexed="64"/>
      </top>
      <bottom/>
      <diagonal/>
    </border>
    <border>
      <left style="medium">
        <color indexed="64"/>
      </left>
      <right style="medium">
        <color rgb="FFFFFFFF"/>
      </right>
      <top/>
      <bottom style="medium">
        <color indexed="64"/>
      </bottom>
      <diagonal/>
    </border>
    <border>
      <left style="medium">
        <color rgb="FFFFFFFF"/>
      </left>
      <right style="medium">
        <color rgb="FFFFFFFF"/>
      </right>
      <top/>
      <bottom style="medium">
        <color indexed="64"/>
      </bottom>
      <diagonal/>
    </border>
    <border>
      <left style="medium">
        <color rgb="FFFFFFFF"/>
      </left>
      <right style="medium">
        <color indexed="64"/>
      </right>
      <top/>
      <bottom style="medium">
        <color indexed="64"/>
      </bottom>
      <diagonal/>
    </border>
  </borders>
  <cellStyleXfs count="658">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5"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4" fillId="13"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20" borderId="0" applyNumberFormat="0" applyBorder="0" applyAlignment="0" applyProtection="0"/>
    <xf numFmtId="0" fontId="5" fillId="3" borderId="0" applyNumberFormat="0" applyBorder="0" applyAlignment="0" applyProtection="0"/>
    <xf numFmtId="0" fontId="6" fillId="8" borderId="1" applyNumberFormat="0" applyAlignment="0" applyProtection="0"/>
    <xf numFmtId="0" fontId="7" fillId="21" borderId="2" applyNumberFormat="0" applyAlignment="0" applyProtection="0"/>
    <xf numFmtId="168"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8" fontId="8" fillId="0" borderId="0" applyFont="0" applyFill="0" applyBorder="0" applyAlignment="0" applyProtection="0"/>
    <xf numFmtId="169" fontId="8"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4" fillId="8" borderId="1" applyNumberFormat="0" applyAlignment="0" applyProtection="0"/>
    <xf numFmtId="0" fontId="15" fillId="0" borderId="6" applyNumberFormat="0" applyFill="0" applyAlignment="0" applyProtection="0"/>
    <xf numFmtId="164" fontId="8" fillId="0" borderId="0" applyFont="0" applyFill="0" applyBorder="0" applyAlignment="0" applyProtection="0"/>
    <xf numFmtId="166" fontId="8" fillId="0" borderId="0" applyFont="0" applyFill="0" applyBorder="0" applyAlignment="0" applyProtection="0"/>
    <xf numFmtId="0" fontId="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3" fillId="0" borderId="0" applyFont="0" applyFill="0" applyBorder="0" applyAlignment="0" applyProtection="0"/>
    <xf numFmtId="166" fontId="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8" fillId="0" borderId="0" applyFont="0" applyFill="0" applyBorder="0" applyAlignment="0" applyProtection="0"/>
    <xf numFmtId="166" fontId="8" fillId="0" borderId="0" applyNumberForma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70" fontId="8" fillId="0" borderId="0" applyFont="0" applyFill="0" applyBorder="0" applyAlignment="0" applyProtection="0"/>
    <xf numFmtId="170" fontId="3" fillId="0" borderId="0" applyFont="0" applyFill="0" applyBorder="0" applyAlignment="0" applyProtection="0"/>
    <xf numFmtId="165" fontId="2" fillId="0" borderId="0" applyFont="0" applyFill="0" applyBorder="0" applyAlignment="0" applyProtection="0"/>
    <xf numFmtId="0" fontId="16"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8" fillId="0" borderId="0" applyFill="0"/>
    <xf numFmtId="0" fontId="8" fillId="0" borderId="0"/>
    <xf numFmtId="0" fontId="8" fillId="0" borderId="0"/>
    <xf numFmtId="0" fontId="1" fillId="0" borderId="0"/>
    <xf numFmtId="0" fontId="1" fillId="0" borderId="0"/>
    <xf numFmtId="0" fontId="1" fillId="0" borderId="0"/>
    <xf numFmtId="0" fontId="8" fillId="0" borderId="0" applyFill="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8" fillId="0" borderId="0" applyFill="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applyFill="0"/>
    <xf numFmtId="0" fontId="8" fillId="0" borderId="0"/>
    <xf numFmtId="0" fontId="2"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pplyFill="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23" borderId="7" applyNumberFormat="0" applyFont="0" applyAlignment="0" applyProtection="0"/>
    <xf numFmtId="0" fontId="3" fillId="23" borderId="7" applyNumberFormat="0" applyFont="0" applyAlignment="0" applyProtection="0"/>
    <xf numFmtId="0" fontId="17" fillId="8"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NumberForma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167" fontId="1" fillId="0" borderId="0" applyFont="0" applyFill="0" applyBorder="0" applyAlignment="0" applyProtection="0"/>
    <xf numFmtId="9" fontId="1" fillId="0" borderId="0" applyFont="0" applyFill="0" applyBorder="0" applyAlignment="0" applyProtection="0"/>
  </cellStyleXfs>
  <cellXfs count="663">
    <xf numFmtId="0" fontId="0" fillId="0" borderId="0" xfId="0"/>
    <xf numFmtId="0" fontId="30" fillId="0" borderId="13" xfId="0" applyFont="1" applyBorder="1" applyAlignment="1">
      <alignment vertical="center" wrapText="1"/>
    </xf>
    <xf numFmtId="0" fontId="31" fillId="26" borderId="14" xfId="0" applyFont="1" applyFill="1" applyBorder="1" applyAlignment="1">
      <alignment horizontal="center" vertical="center"/>
    </xf>
    <xf numFmtId="0" fontId="32" fillId="26" borderId="14" xfId="0" applyFont="1" applyFill="1" applyBorder="1" applyAlignment="1">
      <alignment horizontal="center" vertical="center"/>
    </xf>
    <xf numFmtId="0" fontId="32" fillId="0" borderId="14" xfId="0" applyFont="1" applyBorder="1" applyAlignment="1">
      <alignment horizontal="right" vertical="center"/>
    </xf>
    <xf numFmtId="0" fontId="30" fillId="0" borderId="14" xfId="0" applyFont="1" applyBorder="1" applyAlignment="1">
      <alignment vertical="center"/>
    </xf>
    <xf numFmtId="0" fontId="36" fillId="25" borderId="13" xfId="0" applyFont="1" applyFill="1" applyBorder="1" applyAlignment="1">
      <alignment horizontal="right" vertical="center"/>
    </xf>
    <xf numFmtId="0" fontId="23" fillId="0" borderId="10" xfId="0" applyFont="1" applyBorder="1" applyAlignment="1">
      <alignment horizontal="right"/>
    </xf>
    <xf numFmtId="0" fontId="23" fillId="0" borderId="13" xfId="0" applyFont="1" applyBorder="1" applyAlignment="1">
      <alignment horizontal="right"/>
    </xf>
    <xf numFmtId="0" fontId="36" fillId="25" borderId="10" xfId="0" applyFont="1" applyFill="1" applyBorder="1" applyAlignment="1">
      <alignment horizontal="right" vertical="center"/>
    </xf>
    <xf numFmtId="0" fontId="28" fillId="25" borderId="17" xfId="0" applyFont="1" applyFill="1" applyBorder="1" applyAlignment="1">
      <alignment vertical="center" wrapText="1"/>
    </xf>
    <xf numFmtId="0" fontId="28" fillId="25" borderId="22" xfId="0" applyFont="1" applyFill="1" applyBorder="1" applyAlignment="1">
      <alignment vertical="center" wrapText="1"/>
    </xf>
    <xf numFmtId="0" fontId="32" fillId="0" borderId="14" xfId="0" applyFont="1" applyBorder="1" applyAlignment="1">
      <alignment horizontal="left" vertical="center" wrapText="1"/>
    </xf>
    <xf numFmtId="0" fontId="37" fillId="28" borderId="0" xfId="0" applyFont="1" applyFill="1"/>
    <xf numFmtId="0" fontId="21" fillId="28" borderId="0" xfId="0" applyFont="1" applyFill="1"/>
    <xf numFmtId="0" fontId="0" fillId="28" borderId="0" xfId="0" applyFill="1"/>
    <xf numFmtId="0" fontId="28" fillId="25" borderId="17" xfId="0" applyFont="1" applyFill="1" applyBorder="1" applyAlignment="1">
      <alignment vertical="center" wrapText="1"/>
    </xf>
    <xf numFmtId="0" fontId="28" fillId="25" borderId="12" xfId="0" applyFont="1" applyFill="1" applyBorder="1" applyAlignment="1">
      <alignment vertical="center" wrapText="1"/>
    </xf>
    <xf numFmtId="0" fontId="28" fillId="25" borderId="11" xfId="0" applyFont="1" applyFill="1" applyBorder="1" applyAlignment="1">
      <alignment vertical="center" wrapText="1"/>
    </xf>
    <xf numFmtId="0" fontId="26" fillId="24" borderId="28" xfId="0" applyFont="1" applyFill="1" applyBorder="1" applyAlignment="1">
      <alignment horizontal="center" vertical="center" wrapText="1"/>
    </xf>
    <xf numFmtId="0" fontId="0" fillId="28" borderId="0" xfId="0" applyFill="1" applyAlignment="1">
      <alignment horizontal="center" vertical="center"/>
    </xf>
    <xf numFmtId="0" fontId="26" fillId="24" borderId="29" xfId="0" applyFont="1" applyFill="1" applyBorder="1" applyAlignment="1">
      <alignment horizontal="left" vertical="center" wrapText="1"/>
    </xf>
    <xf numFmtId="0" fontId="22" fillId="28" borderId="0" xfId="0" applyFont="1" applyFill="1"/>
    <xf numFmtId="0" fontId="25" fillId="28" borderId="15" xfId="0" applyFont="1" applyFill="1" applyBorder="1" applyAlignment="1">
      <alignment horizontal="right" vertical="center"/>
    </xf>
    <xf numFmtId="0" fontId="22" fillId="28" borderId="0" xfId="0" applyFont="1" applyFill="1" applyAlignment="1">
      <alignment wrapText="1"/>
    </xf>
    <xf numFmtId="167" fontId="30" fillId="0" borderId="14" xfId="656" applyFont="1" applyBorder="1" applyAlignment="1">
      <alignment vertical="center" wrapText="1"/>
    </xf>
    <xf numFmtId="0" fontId="26" fillId="24" borderId="18" xfId="0" applyFont="1" applyFill="1" applyBorder="1" applyAlignment="1">
      <alignment horizontal="center" vertical="center" wrapText="1"/>
    </xf>
    <xf numFmtId="0" fontId="26" fillId="24" borderId="19" xfId="0" applyFont="1" applyFill="1" applyBorder="1" applyAlignment="1">
      <alignment horizontal="center" vertical="center" wrapText="1"/>
    </xf>
    <xf numFmtId="0" fontId="26" fillId="24" borderId="16" xfId="0" applyFont="1" applyFill="1" applyBorder="1" applyAlignment="1">
      <alignment horizontal="center" vertical="center" wrapText="1"/>
    </xf>
    <xf numFmtId="167" fontId="0" fillId="28" borderId="0" xfId="656" applyFont="1" applyFill="1"/>
    <xf numFmtId="167" fontId="24" fillId="28" borderId="0" xfId="656" applyFont="1" applyFill="1" applyBorder="1" applyAlignment="1"/>
    <xf numFmtId="167" fontId="25" fillId="28" borderId="0" xfId="656" applyFont="1" applyFill="1" applyBorder="1" applyAlignment="1"/>
    <xf numFmtId="167" fontId="25" fillId="28" borderId="0" xfId="656" applyFont="1" applyFill="1" applyBorder="1" applyAlignment="1">
      <alignment wrapText="1"/>
    </xf>
    <xf numFmtId="167" fontId="22" fillId="28" borderId="0" xfId="656" applyFont="1" applyFill="1"/>
    <xf numFmtId="167" fontId="26" fillId="24" borderId="30" xfId="656" applyFont="1" applyFill="1" applyBorder="1" applyAlignment="1">
      <alignment horizontal="center" vertical="center" wrapText="1"/>
    </xf>
    <xf numFmtId="167" fontId="26" fillId="24" borderId="25" xfId="656" applyFont="1" applyFill="1" applyBorder="1" applyAlignment="1">
      <alignment horizontal="center" vertical="center" wrapText="1"/>
    </xf>
    <xf numFmtId="167" fontId="28" fillId="25" borderId="26" xfId="656" applyFont="1" applyFill="1" applyBorder="1" applyAlignment="1">
      <alignment vertical="center" wrapText="1"/>
    </xf>
    <xf numFmtId="167" fontId="28" fillId="25" borderId="11" xfId="656" applyFont="1" applyFill="1" applyBorder="1" applyAlignment="1">
      <alignment vertical="center" wrapText="1"/>
    </xf>
    <xf numFmtId="167" fontId="34" fillId="25" borderId="11" xfId="656" applyFont="1" applyFill="1" applyBorder="1" applyAlignment="1">
      <alignment horizontal="right" vertical="center" wrapText="1"/>
    </xf>
    <xf numFmtId="167" fontId="26" fillId="24" borderId="11" xfId="656" applyFont="1" applyFill="1" applyBorder="1" applyAlignment="1">
      <alignment horizontal="center" vertical="center" wrapText="1"/>
    </xf>
    <xf numFmtId="167" fontId="32" fillId="0" borderId="14" xfId="656" applyFont="1" applyBorder="1" applyAlignment="1">
      <alignment vertical="center" wrapText="1"/>
    </xf>
    <xf numFmtId="167" fontId="32" fillId="0" borderId="14" xfId="656" applyFont="1" applyBorder="1" applyAlignment="1">
      <alignment vertical="center"/>
    </xf>
    <xf numFmtId="167" fontId="26" fillId="24" borderId="10" xfId="656" applyFont="1" applyFill="1" applyBorder="1" applyAlignment="1">
      <alignment horizontal="center" vertical="center" wrapText="1"/>
    </xf>
    <xf numFmtId="167" fontId="32" fillId="0" borderId="0" xfId="656" applyFont="1" applyBorder="1" applyAlignment="1">
      <alignment horizontal="left" vertical="center" wrapText="1"/>
    </xf>
    <xf numFmtId="167" fontId="0" fillId="28" borderId="0" xfId="656" applyFont="1" applyFill="1" applyAlignment="1">
      <alignment horizontal="center" vertical="center"/>
    </xf>
    <xf numFmtId="167" fontId="0" fillId="0" borderId="0" xfId="656" applyFont="1"/>
    <xf numFmtId="0" fontId="30" fillId="0" borderId="14" xfId="0" applyFont="1" applyBorder="1" applyAlignment="1">
      <alignment vertical="center" wrapText="1"/>
    </xf>
    <xf numFmtId="3" fontId="30" fillId="0" borderId="13" xfId="0" applyNumberFormat="1" applyFont="1" applyBorder="1" applyAlignment="1">
      <alignment vertical="center" wrapText="1"/>
    </xf>
    <xf numFmtId="3" fontId="32" fillId="26" borderId="14" xfId="0" applyNumberFormat="1" applyFont="1" applyFill="1" applyBorder="1" applyAlignment="1">
      <alignment horizontal="center" vertical="center"/>
    </xf>
    <xf numFmtId="3" fontId="32" fillId="0" borderId="14" xfId="0" applyNumberFormat="1" applyFont="1" applyBorder="1" applyAlignment="1">
      <alignment horizontal="right" vertical="center"/>
    </xf>
    <xf numFmtId="3" fontId="32" fillId="0" borderId="14" xfId="0" applyNumberFormat="1" applyFont="1" applyBorder="1" applyAlignment="1">
      <alignment horizontal="left" vertical="center" wrapText="1"/>
    </xf>
    <xf numFmtId="3" fontId="32" fillId="0" borderId="14" xfId="0" applyNumberFormat="1" applyFont="1" applyBorder="1" applyAlignment="1">
      <alignment vertical="center" wrapText="1"/>
    </xf>
    <xf numFmtId="3" fontId="32" fillId="0" borderId="14" xfId="0" applyNumberFormat="1" applyFont="1" applyBorder="1" applyAlignment="1">
      <alignment vertical="center"/>
    </xf>
    <xf numFmtId="3" fontId="35" fillId="25" borderId="13" xfId="0" applyNumberFormat="1" applyFont="1" applyFill="1" applyBorder="1" applyAlignment="1">
      <alignment horizontal="right" vertical="center"/>
    </xf>
    <xf numFmtId="3" fontId="32" fillId="26" borderId="14" xfId="0" applyNumberFormat="1" applyFont="1" applyFill="1" applyBorder="1" applyAlignment="1">
      <alignment horizontal="right" vertical="center"/>
    </xf>
    <xf numFmtId="0" fontId="30" fillId="0" borderId="10" xfId="0" applyFont="1" applyBorder="1" applyAlignment="1">
      <alignment vertical="center" wrapText="1"/>
    </xf>
    <xf numFmtId="0" fontId="31" fillId="26" borderId="10" xfId="0" applyFont="1" applyFill="1" applyBorder="1" applyAlignment="1">
      <alignment horizontal="center" vertical="center"/>
    </xf>
    <xf numFmtId="0" fontId="32" fillId="26" borderId="10" xfId="0" applyFont="1" applyFill="1" applyBorder="1" applyAlignment="1">
      <alignment horizontal="center" vertical="center"/>
    </xf>
    <xf numFmtId="3" fontId="32" fillId="0" borderId="10" xfId="0" applyNumberFormat="1" applyFont="1" applyBorder="1" applyAlignment="1">
      <alignment horizontal="right" vertical="center"/>
    </xf>
    <xf numFmtId="3" fontId="33" fillId="0" borderId="14" xfId="0" applyNumberFormat="1" applyFont="1" applyBorder="1" applyAlignment="1">
      <alignment vertical="center"/>
    </xf>
    <xf numFmtId="2" fontId="30" fillId="0" borderId="10" xfId="0" applyNumberFormat="1" applyFont="1" applyBorder="1" applyAlignment="1">
      <alignment vertical="center" wrapText="1"/>
    </xf>
    <xf numFmtId="2" fontId="31" fillId="26" borderId="10" xfId="0" applyNumberFormat="1" applyFont="1" applyFill="1" applyBorder="1" applyAlignment="1">
      <alignment horizontal="center" vertical="center"/>
    </xf>
    <xf numFmtId="2" fontId="32" fillId="26" borderId="10" xfId="0" applyNumberFormat="1" applyFont="1" applyFill="1" applyBorder="1" applyAlignment="1">
      <alignment horizontal="center" vertical="center"/>
    </xf>
    <xf numFmtId="3" fontId="39" fillId="27" borderId="14" xfId="0" applyNumberFormat="1" applyFont="1" applyFill="1" applyBorder="1" applyAlignment="1">
      <alignment horizontal="right" vertical="center"/>
    </xf>
    <xf numFmtId="3" fontId="39" fillId="27" borderId="14" xfId="0" applyNumberFormat="1" applyFont="1" applyFill="1" applyBorder="1" applyAlignment="1">
      <alignment horizontal="right" vertical="center" wrapText="1"/>
    </xf>
    <xf numFmtId="3" fontId="40" fillId="25" borderId="27" xfId="0" applyNumberFormat="1" applyFont="1" applyFill="1" applyBorder="1" applyAlignment="1">
      <alignment horizontal="right" vertical="center"/>
    </xf>
    <xf numFmtId="3" fontId="40" fillId="25" borderId="13" xfId="0" applyNumberFormat="1" applyFont="1" applyFill="1" applyBorder="1" applyAlignment="1">
      <alignment horizontal="right" vertical="center"/>
    </xf>
    <xf numFmtId="3" fontId="41" fillId="0" borderId="13" xfId="0" applyNumberFormat="1" applyFont="1" applyBorder="1" applyAlignment="1">
      <alignment vertical="center" wrapText="1"/>
    </xf>
    <xf numFmtId="3" fontId="39" fillId="0" borderId="14" xfId="0" applyNumberFormat="1" applyFont="1" applyBorder="1" applyAlignment="1">
      <alignment horizontal="right" vertical="center" wrapText="1"/>
    </xf>
    <xf numFmtId="9" fontId="32" fillId="0" borderId="14" xfId="656" applyNumberFormat="1" applyFont="1" applyBorder="1" applyAlignment="1">
      <alignment vertical="center"/>
    </xf>
    <xf numFmtId="9" fontId="39" fillId="0" borderId="14" xfId="656" applyNumberFormat="1" applyFont="1" applyBorder="1" applyAlignment="1">
      <alignment vertical="center"/>
    </xf>
    <xf numFmtId="3" fontId="30" fillId="0" borderId="10" xfId="0" applyNumberFormat="1" applyFont="1" applyBorder="1" applyAlignment="1">
      <alignment vertical="center" wrapText="1"/>
    </xf>
    <xf numFmtId="3" fontId="32" fillId="26" borderId="10" xfId="0" applyNumberFormat="1" applyFont="1" applyFill="1" applyBorder="1" applyAlignment="1">
      <alignment horizontal="center" vertical="center"/>
    </xf>
    <xf numFmtId="3" fontId="32" fillId="0" borderId="14" xfId="0" applyNumberFormat="1" applyFont="1" applyFill="1" applyBorder="1" applyAlignment="1">
      <alignment horizontal="right" vertical="center"/>
    </xf>
    <xf numFmtId="0" fontId="30" fillId="0" borderId="13" xfId="0" applyFont="1" applyFill="1" applyBorder="1" applyAlignment="1">
      <alignment vertical="center" wrapText="1"/>
    </xf>
    <xf numFmtId="3" fontId="30" fillId="0" borderId="13" xfId="0" applyNumberFormat="1" applyFont="1" applyFill="1" applyBorder="1" applyAlignment="1">
      <alignment vertical="center" wrapText="1"/>
    </xf>
    <xf numFmtId="3" fontId="31" fillId="0" borderId="14" xfId="0" applyNumberFormat="1" applyFont="1" applyFill="1" applyBorder="1" applyAlignment="1">
      <alignment horizontal="center" vertical="center"/>
    </xf>
    <xf numFmtId="3" fontId="32" fillId="0" borderId="14" xfId="0" applyNumberFormat="1" applyFont="1" applyFill="1" applyBorder="1" applyAlignment="1">
      <alignment horizontal="center" vertical="center"/>
    </xf>
    <xf numFmtId="3" fontId="0" fillId="28" borderId="0" xfId="0" applyNumberFormat="1" applyFill="1"/>
    <xf numFmtId="0" fontId="28" fillId="25" borderId="17" xfId="0" applyFont="1" applyFill="1" applyBorder="1" applyAlignment="1">
      <alignment vertical="center" wrapText="1"/>
    </xf>
    <xf numFmtId="0" fontId="28" fillId="25" borderId="12" xfId="0" applyFont="1" applyFill="1" applyBorder="1" applyAlignment="1">
      <alignment vertical="center" wrapText="1"/>
    </xf>
    <xf numFmtId="0" fontId="28" fillId="25" borderId="11" xfId="0" applyFont="1" applyFill="1" applyBorder="1" applyAlignment="1">
      <alignment vertical="center" wrapText="1"/>
    </xf>
    <xf numFmtId="0" fontId="28" fillId="25" borderId="17" xfId="0" applyFont="1" applyFill="1" applyBorder="1" applyAlignment="1">
      <alignment vertical="center" wrapText="1"/>
    </xf>
    <xf numFmtId="0" fontId="28" fillId="25" borderId="12" xfId="0" applyFont="1" applyFill="1" applyBorder="1" applyAlignment="1">
      <alignment vertical="center" wrapText="1"/>
    </xf>
    <xf numFmtId="0" fontId="28" fillId="25" borderId="11" xfId="0" applyFont="1" applyFill="1" applyBorder="1" applyAlignment="1">
      <alignment vertical="center" wrapText="1"/>
    </xf>
    <xf numFmtId="0" fontId="23" fillId="0" borderId="13" xfId="0" applyFont="1" applyBorder="1" applyAlignment="1">
      <alignment horizontal="right" vertical="center"/>
    </xf>
    <xf numFmtId="3" fontId="32" fillId="27" borderId="14" xfId="0" applyNumberFormat="1" applyFont="1" applyFill="1" applyBorder="1" applyAlignment="1">
      <alignment horizontal="right" vertical="center"/>
    </xf>
    <xf numFmtId="0" fontId="33" fillId="0" borderId="14" xfId="0" applyFont="1" applyBorder="1" applyAlignment="1">
      <alignment vertical="center"/>
    </xf>
    <xf numFmtId="0" fontId="32" fillId="26" borderId="14" xfId="0" applyFont="1" applyFill="1" applyBorder="1" applyAlignment="1">
      <alignment horizontal="center" vertical="center" wrapText="1"/>
    </xf>
    <xf numFmtId="3" fontId="32" fillId="0" borderId="14" xfId="0" applyNumberFormat="1" applyFont="1" applyBorder="1" applyAlignment="1">
      <alignment horizontal="right" vertical="center" wrapText="1"/>
    </xf>
    <xf numFmtId="0" fontId="32" fillId="0" borderId="14" xfId="0" applyFont="1" applyBorder="1" applyAlignment="1">
      <alignment vertical="center" wrapText="1"/>
    </xf>
    <xf numFmtId="0" fontId="0" fillId="28" borderId="0" xfId="0" applyFill="1" applyAlignment="1">
      <alignment wrapText="1"/>
    </xf>
    <xf numFmtId="0" fontId="32" fillId="26" borderId="14" xfId="0" applyFont="1" applyFill="1" applyBorder="1" applyAlignment="1">
      <alignment vertical="center"/>
    </xf>
    <xf numFmtId="0" fontId="32" fillId="0" borderId="14" xfId="0" applyFont="1" applyBorder="1" applyAlignment="1">
      <alignment vertical="center"/>
    </xf>
    <xf numFmtId="3" fontId="36" fillId="25" borderId="13" xfId="0" applyNumberFormat="1" applyFont="1" applyFill="1" applyBorder="1" applyAlignment="1">
      <alignment horizontal="right" vertical="center"/>
    </xf>
    <xf numFmtId="3" fontId="36" fillId="25" borderId="27" xfId="0" applyNumberFormat="1" applyFont="1" applyFill="1" applyBorder="1" applyAlignment="1">
      <alignment horizontal="right" vertical="center"/>
    </xf>
    <xf numFmtId="3" fontId="36" fillId="25" borderId="10" xfId="0" applyNumberFormat="1" applyFont="1" applyFill="1" applyBorder="1" applyAlignment="1">
      <alignment horizontal="right" vertical="center"/>
    </xf>
    <xf numFmtId="10" fontId="32" fillId="0" borderId="14" xfId="0" applyNumberFormat="1" applyFont="1" applyBorder="1" applyAlignment="1">
      <alignment horizontal="left" vertical="center" wrapText="1"/>
    </xf>
    <xf numFmtId="10" fontId="30" fillId="0" borderId="13" xfId="0" applyNumberFormat="1" applyFont="1" applyBorder="1" applyAlignment="1">
      <alignment vertical="center" wrapText="1"/>
    </xf>
    <xf numFmtId="0" fontId="26" fillId="24" borderId="17" xfId="0" applyFont="1" applyFill="1" applyBorder="1" applyAlignment="1">
      <alignment horizontal="center" vertical="center" wrapText="1"/>
    </xf>
    <xf numFmtId="0" fontId="26" fillId="24" borderId="12" xfId="0" applyFont="1" applyFill="1" applyBorder="1" applyAlignment="1">
      <alignment horizontal="center" vertical="center" wrapText="1"/>
    </xf>
    <xf numFmtId="0" fontId="26" fillId="24" borderId="11" xfId="0" applyFont="1" applyFill="1" applyBorder="1" applyAlignment="1">
      <alignment horizontal="center" vertical="center" wrapText="1"/>
    </xf>
    <xf numFmtId="0" fontId="32" fillId="27" borderId="14" xfId="0" applyFont="1" applyFill="1" applyBorder="1" applyAlignment="1">
      <alignment horizontal="right" vertical="center"/>
    </xf>
    <xf numFmtId="0" fontId="42" fillId="26" borderId="14" xfId="0" applyFont="1" applyFill="1" applyBorder="1" applyAlignment="1">
      <alignment horizontal="center" vertical="center"/>
    </xf>
    <xf numFmtId="167" fontId="28" fillId="27" borderId="11" xfId="656" applyFont="1" applyFill="1" applyBorder="1" applyAlignment="1">
      <alignment horizontal="right" vertical="center" wrapText="1"/>
    </xf>
    <xf numFmtId="0" fontId="35" fillId="25" borderId="13" xfId="0" applyFont="1" applyFill="1" applyBorder="1" applyAlignment="1">
      <alignment horizontal="right" vertical="center"/>
    </xf>
    <xf numFmtId="0" fontId="36" fillId="25" borderId="27" xfId="0" applyFont="1" applyFill="1" applyBorder="1" applyAlignment="1">
      <alignment horizontal="right" vertical="center"/>
    </xf>
    <xf numFmtId="167" fontId="32" fillId="28" borderId="14" xfId="656" applyFont="1" applyFill="1" applyBorder="1" applyAlignment="1">
      <alignment vertical="center"/>
    </xf>
    <xf numFmtId="0" fontId="31" fillId="0" borderId="14" xfId="0" applyFont="1" applyFill="1" applyBorder="1" applyAlignment="1">
      <alignment horizontal="center" vertical="center"/>
    </xf>
    <xf numFmtId="2" fontId="0" fillId="28" borderId="0" xfId="0" applyNumberFormat="1" applyFill="1"/>
    <xf numFmtId="2" fontId="22" fillId="28" borderId="0" xfId="0" applyNumberFormat="1" applyFont="1" applyFill="1"/>
    <xf numFmtId="2" fontId="26" fillId="24" borderId="18" xfId="0" applyNumberFormat="1" applyFont="1" applyFill="1" applyBorder="1" applyAlignment="1">
      <alignment horizontal="center" vertical="center" wrapText="1"/>
    </xf>
    <xf numFmtId="2" fontId="32" fillId="0" borderId="14" xfId="0" applyNumberFormat="1" applyFont="1" applyBorder="1" applyAlignment="1">
      <alignment horizontal="right" vertical="center"/>
    </xf>
    <xf numFmtId="2" fontId="32" fillId="27" borderId="14" xfId="0" applyNumberFormat="1" applyFont="1" applyFill="1" applyBorder="1" applyAlignment="1">
      <alignment horizontal="right" vertical="center"/>
    </xf>
    <xf numFmtId="0" fontId="28" fillId="25" borderId="17" xfId="0" applyFont="1" applyFill="1" applyBorder="1" applyAlignment="1">
      <alignment horizontal="left" vertical="center" wrapText="1"/>
    </xf>
    <xf numFmtId="0" fontId="28" fillId="25" borderId="12" xfId="0" applyFont="1" applyFill="1" applyBorder="1" applyAlignment="1">
      <alignment horizontal="left" vertical="center" wrapText="1"/>
    </xf>
    <xf numFmtId="2" fontId="28" fillId="25" borderId="12" xfId="0" applyNumberFormat="1" applyFont="1" applyFill="1" applyBorder="1" applyAlignment="1">
      <alignment horizontal="left" vertical="center" wrapText="1"/>
    </xf>
    <xf numFmtId="2" fontId="26" fillId="24" borderId="12" xfId="0" applyNumberFormat="1" applyFont="1" applyFill="1" applyBorder="1" applyAlignment="1">
      <alignment horizontal="center" vertical="center" wrapText="1"/>
    </xf>
    <xf numFmtId="2" fontId="36" fillId="25" borderId="27" xfId="0" applyNumberFormat="1" applyFont="1" applyFill="1" applyBorder="1" applyAlignment="1">
      <alignment horizontal="right" vertical="center"/>
    </xf>
    <xf numFmtId="2" fontId="36" fillId="25" borderId="10" xfId="0" applyNumberFormat="1" applyFont="1" applyFill="1" applyBorder="1" applyAlignment="1">
      <alignment horizontal="right" vertical="center"/>
    </xf>
    <xf numFmtId="0" fontId="34" fillId="25" borderId="0" xfId="0" applyFont="1" applyFill="1" applyBorder="1" applyAlignment="1">
      <alignment horizontal="right" vertical="center" wrapText="1"/>
    </xf>
    <xf numFmtId="2" fontId="36" fillId="25" borderId="0" xfId="0" applyNumberFormat="1" applyFont="1" applyFill="1" applyBorder="1" applyAlignment="1">
      <alignment horizontal="right" vertical="center"/>
    </xf>
    <xf numFmtId="2" fontId="26" fillId="24" borderId="28" xfId="0" applyNumberFormat="1" applyFont="1" applyFill="1" applyBorder="1" applyAlignment="1">
      <alignment horizontal="center" vertical="center" wrapText="1"/>
    </xf>
    <xf numFmtId="0" fontId="24" fillId="26" borderId="14" xfId="0" applyFont="1" applyFill="1" applyBorder="1" applyAlignment="1">
      <alignment horizontal="center" vertical="center"/>
    </xf>
    <xf numFmtId="2" fontId="30" fillId="0" borderId="13" xfId="0" applyNumberFormat="1" applyFont="1" applyBorder="1" applyAlignment="1">
      <alignment vertical="center" wrapText="1"/>
    </xf>
    <xf numFmtId="2" fontId="24" fillId="26" borderId="14" xfId="0" applyNumberFormat="1" applyFont="1" applyFill="1" applyBorder="1" applyAlignment="1">
      <alignment horizontal="center" vertical="center"/>
    </xf>
    <xf numFmtId="2" fontId="32" fillId="26" borderId="14" xfId="0" applyNumberFormat="1" applyFont="1" applyFill="1" applyBorder="1" applyAlignment="1">
      <alignment horizontal="center" vertical="center"/>
    </xf>
    <xf numFmtId="2" fontId="32" fillId="0" borderId="14" xfId="0" applyNumberFormat="1" applyFont="1" applyBorder="1" applyAlignment="1">
      <alignment horizontal="left" vertical="center" wrapText="1"/>
    </xf>
    <xf numFmtId="167" fontId="1" fillId="28" borderId="0" xfId="656" applyFont="1" applyFill="1"/>
    <xf numFmtId="0" fontId="43" fillId="0" borderId="10" xfId="0" applyFont="1" applyBorder="1" applyAlignment="1">
      <alignment horizontal="right"/>
    </xf>
    <xf numFmtId="0" fontId="43" fillId="0" borderId="13" xfId="0" applyFont="1" applyBorder="1" applyAlignment="1">
      <alignment horizontal="right"/>
    </xf>
    <xf numFmtId="0" fontId="47" fillId="0" borderId="13" xfId="0" applyFont="1" applyBorder="1" applyAlignment="1">
      <alignment vertical="center" wrapText="1"/>
    </xf>
    <xf numFmtId="0" fontId="48" fillId="26" borderId="14" xfId="0" applyFont="1" applyFill="1" applyBorder="1" applyAlignment="1">
      <alignment horizontal="center" vertical="center"/>
    </xf>
    <xf numFmtId="0" fontId="49" fillId="26" borderId="14" xfId="0" applyFont="1" applyFill="1" applyBorder="1" applyAlignment="1">
      <alignment horizontal="right" vertical="center"/>
    </xf>
    <xf numFmtId="0" fontId="49" fillId="0" borderId="14" xfId="0" applyFont="1" applyBorder="1" applyAlignment="1">
      <alignment horizontal="right" vertical="center"/>
    </xf>
    <xf numFmtId="0" fontId="49" fillId="27" borderId="14" xfId="0" applyFont="1" applyFill="1" applyBorder="1" applyAlignment="1">
      <alignment horizontal="right" vertical="center"/>
    </xf>
    <xf numFmtId="0" fontId="51" fillId="0" borderId="13" xfId="0" applyFont="1" applyBorder="1" applyAlignment="1">
      <alignment vertical="center" wrapText="1"/>
    </xf>
    <xf numFmtId="0" fontId="49" fillId="26" borderId="14" xfId="0" applyFont="1" applyFill="1" applyBorder="1" applyAlignment="1">
      <alignment horizontal="center" vertical="center"/>
    </xf>
    <xf numFmtId="0" fontId="52" fillId="26" borderId="14" xfId="0" applyFont="1" applyFill="1" applyBorder="1" applyAlignment="1">
      <alignment horizontal="center" vertical="center"/>
    </xf>
    <xf numFmtId="0" fontId="51" fillId="26" borderId="14" xfId="0" applyFont="1" applyFill="1" applyBorder="1" applyAlignment="1">
      <alignment horizontal="center" vertical="center"/>
    </xf>
    <xf numFmtId="0" fontId="51" fillId="0" borderId="14" xfId="0" applyFont="1" applyBorder="1" applyAlignment="1">
      <alignment horizontal="right" vertical="center"/>
    </xf>
    <xf numFmtId="0" fontId="52" fillId="26" borderId="14" xfId="0" applyFont="1" applyFill="1" applyBorder="1" applyAlignment="1">
      <alignment horizontal="center" vertical="center" wrapText="1"/>
    </xf>
    <xf numFmtId="0" fontId="53" fillId="0" borderId="13" xfId="0" applyFont="1" applyBorder="1" applyAlignment="1">
      <alignment vertical="center" wrapText="1"/>
    </xf>
    <xf numFmtId="0" fontId="54" fillId="26" borderId="14" xfId="0" applyFont="1" applyFill="1" applyBorder="1" applyAlignment="1">
      <alignment horizontal="center" vertical="center"/>
    </xf>
    <xf numFmtId="0" fontId="53" fillId="26" borderId="14" xfId="0" applyFont="1" applyFill="1" applyBorder="1" applyAlignment="1">
      <alignment horizontal="center" vertical="center"/>
    </xf>
    <xf numFmtId="0" fontId="53" fillId="0" borderId="14" xfId="0" applyFont="1" applyBorder="1" applyAlignment="1">
      <alignment horizontal="right" vertical="center"/>
    </xf>
    <xf numFmtId="0" fontId="54" fillId="26" borderId="14" xfId="0" applyFont="1" applyFill="1" applyBorder="1" applyAlignment="1">
      <alignment horizontal="center" vertical="center" wrapText="1"/>
    </xf>
    <xf numFmtId="0" fontId="55" fillId="0" borderId="13" xfId="0" applyFont="1" applyBorder="1" applyAlignment="1">
      <alignment vertical="center" wrapText="1"/>
    </xf>
    <xf numFmtId="0" fontId="51" fillId="26" borderId="14" xfId="0" applyFont="1" applyFill="1" applyBorder="1" applyAlignment="1">
      <alignment vertical="center"/>
    </xf>
    <xf numFmtId="0" fontId="50" fillId="25" borderId="17" xfId="0" applyFont="1" applyFill="1" applyBorder="1" applyAlignment="1">
      <alignment vertical="center" wrapText="1"/>
    </xf>
    <xf numFmtId="0" fontId="57" fillId="25" borderId="13" xfId="0" applyFont="1" applyFill="1" applyBorder="1" applyAlignment="1">
      <alignment horizontal="right" vertical="center"/>
    </xf>
    <xf numFmtId="0" fontId="58" fillId="25" borderId="13" xfId="0" applyFont="1" applyFill="1" applyBorder="1" applyAlignment="1">
      <alignment horizontal="right" vertical="center"/>
    </xf>
    <xf numFmtId="0" fontId="58" fillId="25" borderId="27" xfId="0" applyFont="1" applyFill="1" applyBorder="1" applyAlignment="1">
      <alignment horizontal="right" vertical="center"/>
    </xf>
    <xf numFmtId="0" fontId="60" fillId="26" borderId="14" xfId="0" applyFont="1" applyFill="1" applyBorder="1" applyAlignment="1">
      <alignment horizontal="center" vertical="center"/>
    </xf>
    <xf numFmtId="0" fontId="49" fillId="0" borderId="14" xfId="0" applyFont="1" applyBorder="1" applyAlignment="1">
      <alignment horizontal="left" vertical="center" wrapText="1"/>
    </xf>
    <xf numFmtId="0" fontId="61" fillId="0" borderId="14" xfId="0" applyFont="1" applyBorder="1" applyAlignment="1">
      <alignment horizontal="left" vertical="center" wrapText="1"/>
    </xf>
    <xf numFmtId="3" fontId="30" fillId="0" borderId="13" xfId="0" applyNumberFormat="1" applyFont="1" applyBorder="1" applyAlignment="1">
      <alignment horizontal="left" vertical="center" wrapText="1"/>
    </xf>
    <xf numFmtId="3" fontId="62" fillId="26" borderId="14" xfId="0" applyNumberFormat="1" applyFont="1" applyFill="1" applyBorder="1" applyAlignment="1">
      <alignment horizontal="left" vertical="center"/>
    </xf>
    <xf numFmtId="0" fontId="32" fillId="26" borderId="14" xfId="0" applyFont="1" applyFill="1" applyBorder="1" applyAlignment="1">
      <alignment horizontal="left" vertical="center"/>
    </xf>
    <xf numFmtId="0" fontId="32" fillId="0" borderId="14" xfId="0" applyFont="1" applyBorder="1" applyAlignment="1">
      <alignment horizontal="left" vertical="center"/>
    </xf>
    <xf numFmtId="167" fontId="32" fillId="0" borderId="14" xfId="656" applyFont="1" applyBorder="1" applyAlignment="1">
      <alignment horizontal="left" vertical="center"/>
    </xf>
    <xf numFmtId="0" fontId="31" fillId="26" borderId="14" xfId="0" applyFont="1" applyFill="1" applyBorder="1" applyAlignment="1">
      <alignment horizontal="left" vertical="center"/>
    </xf>
    <xf numFmtId="0" fontId="30" fillId="0" borderId="13" xfId="0" applyFont="1" applyBorder="1" applyAlignment="1">
      <alignment horizontal="left" vertical="center" wrapText="1"/>
    </xf>
    <xf numFmtId="3" fontId="32" fillId="28" borderId="14" xfId="0" applyNumberFormat="1" applyFont="1" applyFill="1" applyBorder="1" applyAlignment="1">
      <alignment horizontal="left" vertical="center"/>
    </xf>
    <xf numFmtId="3" fontId="31" fillId="26" borderId="14" xfId="0" applyNumberFormat="1" applyFont="1" applyFill="1" applyBorder="1" applyAlignment="1">
      <alignment horizontal="left" vertical="center"/>
    </xf>
    <xf numFmtId="3" fontId="32" fillId="26" borderId="14" xfId="0" applyNumberFormat="1" applyFont="1" applyFill="1" applyBorder="1" applyAlignment="1">
      <alignment horizontal="left" vertical="center"/>
    </xf>
    <xf numFmtId="3" fontId="32" fillId="0" borderId="14" xfId="0" applyNumberFormat="1" applyFont="1" applyBorder="1" applyAlignment="1">
      <alignment horizontal="left" vertical="center"/>
    </xf>
    <xf numFmtId="2" fontId="30" fillId="0" borderId="13" xfId="0" applyNumberFormat="1" applyFont="1" applyBorder="1" applyAlignment="1">
      <alignment horizontal="left" vertical="center" wrapText="1"/>
    </xf>
    <xf numFmtId="0" fontId="63" fillId="0" borderId="32" xfId="0" applyFont="1" applyBorder="1" applyAlignment="1">
      <alignment vertical="center" wrapText="1"/>
    </xf>
    <xf numFmtId="0" fontId="32" fillId="26" borderId="33" xfId="0" applyFont="1" applyFill="1" applyBorder="1" applyAlignment="1">
      <alignment vertical="center" wrapText="1"/>
    </xf>
    <xf numFmtId="0" fontId="32" fillId="26" borderId="33" xfId="0" applyFont="1" applyFill="1" applyBorder="1" applyAlignment="1">
      <alignment horizontal="center" vertical="center"/>
    </xf>
    <xf numFmtId="0" fontId="32" fillId="0" borderId="33" xfId="0" applyFont="1" applyBorder="1" applyAlignment="1">
      <alignment vertical="center" wrapText="1"/>
    </xf>
    <xf numFmtId="0" fontId="30" fillId="0" borderId="32" xfId="0" applyFont="1" applyBorder="1" applyAlignment="1">
      <alignment vertical="center" wrapText="1"/>
    </xf>
    <xf numFmtId="3" fontId="32" fillId="0" borderId="33" xfId="0" applyNumberFormat="1" applyFont="1" applyBorder="1" applyAlignment="1">
      <alignment horizontal="right" vertical="center"/>
    </xf>
    <xf numFmtId="0" fontId="32" fillId="0" borderId="33" xfId="0" applyFont="1" applyBorder="1" applyAlignment="1">
      <alignment horizontal="left" vertical="center" wrapText="1"/>
    </xf>
    <xf numFmtId="0" fontId="63" fillId="0" borderId="13" xfId="0" applyFont="1" applyBorder="1" applyAlignment="1">
      <alignment vertical="center" wrapText="1"/>
    </xf>
    <xf numFmtId="0" fontId="64" fillId="0" borderId="33" xfId="0" applyFont="1" applyBorder="1" applyAlignment="1">
      <alignment vertical="top" wrapText="1"/>
    </xf>
    <xf numFmtId="0" fontId="32" fillId="0" borderId="14" xfId="0" applyNumberFormat="1" applyFont="1" applyBorder="1" applyAlignment="1">
      <alignment vertical="center" wrapText="1"/>
    </xf>
    <xf numFmtId="0" fontId="30" fillId="0" borderId="33" xfId="0" applyFont="1" applyBorder="1" applyAlignment="1">
      <alignment vertical="center" wrapText="1"/>
    </xf>
    <xf numFmtId="0" fontId="32" fillId="0" borderId="14" xfId="0" applyFont="1" applyBorder="1" applyAlignment="1">
      <alignment vertical="top" wrapText="1"/>
    </xf>
    <xf numFmtId="0" fontId="32" fillId="26" borderId="33" xfId="0" applyFont="1" applyFill="1" applyBorder="1" applyAlignment="1">
      <alignment vertical="center"/>
    </xf>
    <xf numFmtId="0" fontId="28" fillId="25" borderId="32" xfId="0" applyFont="1" applyFill="1" applyBorder="1" applyAlignment="1">
      <alignment vertical="center" wrapText="1"/>
    </xf>
    <xf numFmtId="0" fontId="28" fillId="25" borderId="34" xfId="0" applyFont="1" applyFill="1" applyBorder="1" applyAlignment="1">
      <alignment vertical="center" wrapText="1"/>
    </xf>
    <xf numFmtId="0" fontId="63" fillId="0" borderId="36" xfId="0" applyFont="1" applyBorder="1" applyAlignment="1">
      <alignment vertical="top" wrapText="1"/>
    </xf>
    <xf numFmtId="0" fontId="32" fillId="26" borderId="37" xfId="0" applyFont="1" applyFill="1" applyBorder="1" applyAlignment="1">
      <alignment vertical="center" wrapText="1"/>
    </xf>
    <xf numFmtId="0" fontId="32" fillId="26" borderId="38" xfId="0" applyFont="1" applyFill="1" applyBorder="1" applyAlignment="1">
      <alignment horizontal="center" vertical="center"/>
    </xf>
    <xf numFmtId="3" fontId="32" fillId="0" borderId="38" xfId="0" applyNumberFormat="1" applyFont="1" applyBorder="1" applyAlignment="1">
      <alignment horizontal="right" vertical="center"/>
    </xf>
    <xf numFmtId="0" fontId="32" fillId="0" borderId="38" xfId="0" applyFont="1" applyBorder="1" applyAlignment="1">
      <alignment horizontal="left" vertical="center" wrapText="1"/>
    </xf>
    <xf numFmtId="167" fontId="30" fillId="0" borderId="38" xfId="656" applyFont="1" applyBorder="1" applyAlignment="1">
      <alignment vertical="center" wrapText="1"/>
    </xf>
    <xf numFmtId="167" fontId="30" fillId="0" borderId="33" xfId="656" applyFont="1" applyBorder="1" applyAlignment="1">
      <alignment vertical="center" wrapText="1"/>
    </xf>
    <xf numFmtId="0" fontId="0" fillId="0" borderId="33" xfId="0" applyBorder="1"/>
    <xf numFmtId="167" fontId="0" fillId="0" borderId="33" xfId="656" applyFont="1" applyBorder="1"/>
    <xf numFmtId="0" fontId="64" fillId="0" borderId="33" xfId="0" applyFont="1" applyBorder="1" applyAlignment="1">
      <alignment wrapText="1"/>
    </xf>
    <xf numFmtId="0" fontId="25" fillId="26" borderId="33" xfId="0" applyFont="1" applyFill="1" applyBorder="1" applyAlignment="1">
      <alignment horizontal="center" vertical="center"/>
    </xf>
    <xf numFmtId="0" fontId="32" fillId="0" borderId="14" xfId="0" applyFont="1" applyBorder="1" applyAlignment="1">
      <alignment horizontal="right" vertical="center" wrapText="1"/>
    </xf>
    <xf numFmtId="0" fontId="66" fillId="0" borderId="33" xfId="0" applyFont="1" applyBorder="1" applyAlignment="1">
      <alignment vertical="center" wrapText="1"/>
    </xf>
    <xf numFmtId="0" fontId="63" fillId="26" borderId="14" xfId="0" applyFont="1" applyFill="1" applyBorder="1" applyAlignment="1">
      <alignment horizontal="center" vertical="center"/>
    </xf>
    <xf numFmtId="0" fontId="63" fillId="0" borderId="14" xfId="0" applyFont="1" applyBorder="1" applyAlignment="1">
      <alignment horizontal="right" vertical="center"/>
    </xf>
    <xf numFmtId="0" fontId="63" fillId="0" borderId="14" xfId="0" applyFont="1" applyBorder="1" applyAlignment="1">
      <alignment horizontal="left" vertical="center" wrapText="1"/>
    </xf>
    <xf numFmtId="0" fontId="67" fillId="0" borderId="14" xfId="0" applyFont="1" applyBorder="1" applyAlignment="1">
      <alignment vertical="center"/>
    </xf>
    <xf numFmtId="167" fontId="67" fillId="0" borderId="14" xfId="656" applyFont="1" applyBorder="1" applyAlignment="1">
      <alignment vertical="center" wrapText="1"/>
    </xf>
    <xf numFmtId="0" fontId="68" fillId="0" borderId="33" xfId="86" applyFont="1" applyBorder="1"/>
    <xf numFmtId="0" fontId="68" fillId="0" borderId="40" xfId="86" applyFont="1" applyBorder="1"/>
    <xf numFmtId="0" fontId="63" fillId="27" borderId="14" xfId="0" applyFont="1" applyFill="1" applyBorder="1" applyAlignment="1">
      <alignment horizontal="right" vertical="center"/>
    </xf>
    <xf numFmtId="0" fontId="70" fillId="0" borderId="14" xfId="0" applyFont="1" applyBorder="1" applyAlignment="1">
      <alignment vertical="center"/>
    </xf>
    <xf numFmtId="0" fontId="66" fillId="0" borderId="41" xfId="0" applyFont="1" applyBorder="1"/>
    <xf numFmtId="0" fontId="63" fillId="0" borderId="14" xfId="0" applyFont="1" applyBorder="1" applyAlignment="1">
      <alignment vertical="center"/>
    </xf>
    <xf numFmtId="0" fontId="63" fillId="0" borderId="14" xfId="0" applyFont="1" applyBorder="1" applyAlignment="1">
      <alignment vertical="center" wrapText="1"/>
    </xf>
    <xf numFmtId="0" fontId="63" fillId="26" borderId="10" xfId="0" applyFont="1" applyFill="1" applyBorder="1" applyAlignment="1">
      <alignment horizontal="center" vertical="center"/>
    </xf>
    <xf numFmtId="0" fontId="63" fillId="0" borderId="10" xfId="0" applyFont="1" applyBorder="1" applyAlignment="1">
      <alignment horizontal="right" vertical="center"/>
    </xf>
    <xf numFmtId="167" fontId="63" fillId="0" borderId="14" xfId="656" applyFont="1" applyBorder="1" applyAlignment="1">
      <alignment vertical="center" wrapText="1"/>
    </xf>
    <xf numFmtId="0" fontId="28" fillId="25" borderId="14" xfId="0" applyFont="1" applyFill="1" applyBorder="1" applyAlignment="1">
      <alignment vertical="center" wrapText="1"/>
    </xf>
    <xf numFmtId="167" fontId="28" fillId="25" borderId="14" xfId="656" applyFont="1" applyFill="1" applyBorder="1" applyAlignment="1">
      <alignment vertical="center" wrapText="1"/>
    </xf>
    <xf numFmtId="0" fontId="71" fillId="26" borderId="14" xfId="0" applyFont="1" applyFill="1" applyBorder="1" applyAlignment="1">
      <alignment horizontal="center" vertical="center"/>
    </xf>
    <xf numFmtId="3" fontId="63" fillId="0" borderId="14" xfId="0" applyNumberFormat="1" applyFont="1" applyBorder="1" applyAlignment="1">
      <alignment horizontal="right" vertical="center"/>
    </xf>
    <xf numFmtId="0" fontId="63" fillId="26" borderId="14" xfId="0" applyFont="1" applyFill="1" applyBorder="1" applyAlignment="1">
      <alignment vertical="center"/>
    </xf>
    <xf numFmtId="0" fontId="63" fillId="26" borderId="10" xfId="0" applyFont="1" applyFill="1" applyBorder="1" applyAlignment="1">
      <alignment vertical="center"/>
    </xf>
    <xf numFmtId="0" fontId="26" fillId="24" borderId="17" xfId="0" applyFont="1" applyFill="1" applyBorder="1" applyAlignment="1">
      <alignment horizontal="left" vertical="center" wrapText="1"/>
    </xf>
    <xf numFmtId="0" fontId="72" fillId="24" borderId="32" xfId="0" applyFont="1" applyFill="1" applyBorder="1" applyAlignment="1">
      <alignment horizontal="center" vertical="center" wrapText="1"/>
    </xf>
    <xf numFmtId="0" fontId="41" fillId="0" borderId="13" xfId="0" applyFont="1" applyBorder="1" applyAlignment="1">
      <alignment vertical="center" wrapText="1"/>
    </xf>
    <xf numFmtId="0" fontId="73" fillId="26" borderId="14" xfId="0" applyFont="1" applyFill="1" applyBorder="1" applyAlignment="1">
      <alignment horizontal="center" vertical="center"/>
    </xf>
    <xf numFmtId="0" fontId="39" fillId="26" borderId="14" xfId="0" applyFont="1" applyFill="1" applyBorder="1" applyAlignment="1">
      <alignment horizontal="center" vertical="center"/>
    </xf>
    <xf numFmtId="0" fontId="39" fillId="0" borderId="14" xfId="0" applyFont="1" applyBorder="1" applyAlignment="1">
      <alignment horizontal="left" vertical="center" wrapText="1"/>
    </xf>
    <xf numFmtId="0" fontId="26" fillId="24" borderId="32" xfId="0" applyFont="1" applyFill="1" applyBorder="1" applyAlignment="1">
      <alignment horizontal="center" vertical="center" wrapText="1"/>
    </xf>
    <xf numFmtId="167" fontId="32" fillId="0" borderId="10" xfId="656" applyFont="1" applyBorder="1" applyAlignment="1">
      <alignment horizontal="left" vertical="center" wrapText="1"/>
    </xf>
    <xf numFmtId="0" fontId="48" fillId="26" borderId="14" xfId="0" applyFont="1" applyFill="1" applyBorder="1" applyAlignment="1">
      <alignment horizontal="center" vertical="center" wrapText="1"/>
    </xf>
    <xf numFmtId="0" fontId="1" fillId="28" borderId="0" xfId="0" applyFont="1" applyFill="1"/>
    <xf numFmtId="0" fontId="75" fillId="0" borderId="14" xfId="0" applyFont="1" applyBorder="1" applyAlignment="1">
      <alignment horizontal="right" vertical="center"/>
    </xf>
    <xf numFmtId="0" fontId="75" fillId="0" borderId="0" xfId="0" applyFont="1" applyBorder="1" applyAlignment="1">
      <alignment horizontal="left" vertical="center"/>
    </xf>
    <xf numFmtId="0" fontId="75" fillId="26" borderId="14" xfId="0" applyFont="1" applyFill="1" applyBorder="1" applyAlignment="1">
      <alignment horizontal="center" vertical="center"/>
    </xf>
    <xf numFmtId="0" fontId="62" fillId="0" borderId="13" xfId="0" applyFont="1" applyBorder="1" applyAlignment="1">
      <alignment vertical="center" wrapText="1"/>
    </xf>
    <xf numFmtId="0" fontId="75" fillId="26" borderId="14" xfId="0" applyFont="1" applyFill="1" applyBorder="1" applyAlignment="1">
      <alignment vertical="center"/>
    </xf>
    <xf numFmtId="167" fontId="28" fillId="29" borderId="11" xfId="656" applyFont="1" applyFill="1" applyBorder="1" applyAlignment="1">
      <alignment vertical="center" wrapText="1"/>
    </xf>
    <xf numFmtId="0" fontId="75" fillId="0" borderId="14" xfId="0" applyFont="1" applyBorder="1" applyAlignment="1">
      <alignment horizontal="left" vertical="center" wrapText="1"/>
    </xf>
    <xf numFmtId="0" fontId="32" fillId="26" borderId="14" xfId="0" applyFont="1" applyFill="1" applyBorder="1" applyAlignment="1">
      <alignment horizontal="right" vertical="center"/>
    </xf>
    <xf numFmtId="0" fontId="75" fillId="26" borderId="14" xfId="0" applyFont="1" applyFill="1" applyBorder="1" applyAlignment="1">
      <alignment horizontal="right" vertical="center"/>
    </xf>
    <xf numFmtId="0" fontId="30" fillId="0" borderId="13" xfId="0" applyFont="1" applyBorder="1" applyAlignment="1">
      <alignment horizontal="right" vertical="center" wrapText="1"/>
    </xf>
    <xf numFmtId="0" fontId="24" fillId="26" borderId="14" xfId="0" applyFont="1" applyFill="1" applyBorder="1" applyAlignment="1">
      <alignment horizontal="right" vertical="center"/>
    </xf>
    <xf numFmtId="9" fontId="32" fillId="0" borderId="14" xfId="657" applyFont="1" applyBorder="1" applyAlignment="1">
      <alignment horizontal="right" vertical="center"/>
    </xf>
    <xf numFmtId="9" fontId="30" fillId="0" borderId="13" xfId="657" applyFont="1" applyBorder="1" applyAlignment="1">
      <alignment horizontal="right" vertical="center" wrapText="1"/>
    </xf>
    <xf numFmtId="9" fontId="32" fillId="0" borderId="14" xfId="657" applyFont="1" applyBorder="1" applyAlignment="1">
      <alignment horizontal="right" vertical="center" wrapText="1"/>
    </xf>
    <xf numFmtId="167" fontId="79" fillId="25" borderId="11" xfId="656" applyFont="1" applyFill="1" applyBorder="1" applyAlignment="1">
      <alignment vertical="center" wrapText="1"/>
    </xf>
    <xf numFmtId="0" fontId="80" fillId="0" borderId="14" xfId="0" applyFont="1" applyBorder="1" applyAlignment="1">
      <alignment vertical="center"/>
    </xf>
    <xf numFmtId="167" fontId="81" fillId="0" borderId="14" xfId="656" applyFont="1" applyBorder="1" applyAlignment="1">
      <alignment vertical="center" wrapText="1"/>
    </xf>
    <xf numFmtId="3" fontId="80" fillId="27" borderId="14" xfId="0" applyNumberFormat="1" applyFont="1" applyFill="1" applyBorder="1" applyAlignment="1">
      <alignment horizontal="right" vertical="center"/>
    </xf>
    <xf numFmtId="0" fontId="80" fillId="0" borderId="14" xfId="0" applyFont="1" applyBorder="1" applyAlignment="1">
      <alignment horizontal="left" vertical="center" wrapText="1"/>
    </xf>
    <xf numFmtId="0" fontId="24" fillId="26" borderId="14" xfId="0" applyFont="1" applyFill="1" applyBorder="1" applyAlignment="1">
      <alignment horizontal="center" vertical="center" wrapText="1"/>
    </xf>
    <xf numFmtId="0" fontId="32" fillId="28" borderId="14" xfId="0" applyFont="1" applyFill="1" applyBorder="1" applyAlignment="1">
      <alignment horizontal="left" vertical="center" wrapText="1"/>
    </xf>
    <xf numFmtId="0" fontId="67" fillId="0" borderId="14" xfId="0" applyFont="1" applyBorder="1" applyAlignment="1">
      <alignment horizontal="right" vertical="center"/>
    </xf>
    <xf numFmtId="3" fontId="63" fillId="0" borderId="14" xfId="0" applyNumberFormat="1" applyFont="1" applyBorder="1" applyAlignment="1">
      <alignment horizontal="right" vertical="center" wrapText="1"/>
    </xf>
    <xf numFmtId="10" fontId="63" fillId="0" borderId="14" xfId="656" applyNumberFormat="1" applyFont="1" applyBorder="1" applyAlignment="1">
      <alignment horizontal="right" vertical="center"/>
    </xf>
    <xf numFmtId="3" fontId="67" fillId="0" borderId="14" xfId="0" applyNumberFormat="1" applyFont="1" applyBorder="1" applyAlignment="1">
      <alignment horizontal="right" vertical="center"/>
    </xf>
    <xf numFmtId="10" fontId="63" fillId="28" borderId="14" xfId="656" applyNumberFormat="1" applyFont="1" applyFill="1" applyBorder="1" applyAlignment="1">
      <alignment horizontal="right" vertical="center"/>
    </xf>
    <xf numFmtId="3" fontId="63" fillId="0" borderId="13" xfId="0" applyNumberFormat="1" applyFont="1" applyBorder="1" applyAlignment="1">
      <alignment horizontal="right" vertical="center" wrapText="1"/>
    </xf>
    <xf numFmtId="167" fontId="63" fillId="0" borderId="0" xfId="656" applyFont="1" applyBorder="1" applyAlignment="1">
      <alignment horizontal="right" vertical="center" wrapText="1"/>
    </xf>
    <xf numFmtId="10" fontId="67" fillId="0" borderId="14" xfId="0" applyNumberFormat="1" applyFont="1" applyBorder="1" applyAlignment="1">
      <alignment horizontal="right" vertical="center"/>
    </xf>
    <xf numFmtId="10" fontId="63" fillId="0" borderId="14" xfId="0" applyNumberFormat="1" applyFont="1" applyBorder="1" applyAlignment="1">
      <alignment horizontal="right" vertical="center" wrapText="1"/>
    </xf>
    <xf numFmtId="3" fontId="67" fillId="0" borderId="13" xfId="0" applyNumberFormat="1" applyFont="1" applyBorder="1" applyAlignment="1">
      <alignment horizontal="right" vertical="center" wrapText="1"/>
    </xf>
    <xf numFmtId="0" fontId="82" fillId="26" borderId="14" xfId="0" applyFont="1" applyFill="1" applyBorder="1" applyAlignment="1">
      <alignment horizontal="right" vertical="center"/>
    </xf>
    <xf numFmtId="0" fontId="67" fillId="26" borderId="14" xfId="0" applyFont="1" applyFill="1" applyBorder="1" applyAlignment="1">
      <alignment horizontal="right" vertical="center"/>
    </xf>
    <xf numFmtId="0" fontId="67" fillId="0" borderId="13" xfId="0" applyFont="1" applyBorder="1" applyAlignment="1">
      <alignment horizontal="right" vertical="center" wrapText="1"/>
    </xf>
    <xf numFmtId="3" fontId="67" fillId="26" borderId="14" xfId="0" applyNumberFormat="1" applyFont="1" applyFill="1" applyBorder="1" applyAlignment="1">
      <alignment horizontal="right" vertical="center"/>
    </xf>
    <xf numFmtId="3" fontId="83" fillId="26" borderId="14" xfId="0" applyNumberFormat="1" applyFont="1" applyFill="1" applyBorder="1" applyAlignment="1">
      <alignment horizontal="right" vertical="center"/>
    </xf>
    <xf numFmtId="0" fontId="83" fillId="26" borderId="14" xfId="0" applyFont="1" applyFill="1" applyBorder="1" applyAlignment="1">
      <alignment horizontal="right" vertical="center"/>
    </xf>
    <xf numFmtId="3" fontId="83" fillId="0" borderId="13" xfId="0" applyNumberFormat="1" applyFont="1" applyBorder="1" applyAlignment="1">
      <alignment horizontal="right" vertical="center" wrapText="1"/>
    </xf>
    <xf numFmtId="10" fontId="67" fillId="0" borderId="13" xfId="0" applyNumberFormat="1" applyFont="1" applyBorder="1" applyAlignment="1">
      <alignment horizontal="right" vertical="center" wrapText="1"/>
    </xf>
    <xf numFmtId="10" fontId="83" fillId="26" borderId="14" xfId="0" applyNumberFormat="1" applyFont="1" applyFill="1" applyBorder="1" applyAlignment="1">
      <alignment horizontal="right" vertical="center"/>
    </xf>
    <xf numFmtId="10" fontId="67" fillId="26" borderId="14" xfId="0" applyNumberFormat="1" applyFont="1" applyFill="1" applyBorder="1" applyAlignment="1">
      <alignment horizontal="right" vertical="center"/>
    </xf>
    <xf numFmtId="4" fontId="30" fillId="0" borderId="13" xfId="0" applyNumberFormat="1" applyFont="1" applyBorder="1" applyAlignment="1">
      <alignment horizontal="right" vertical="center" wrapText="1"/>
    </xf>
    <xf numFmtId="4" fontId="24" fillId="26" borderId="14" xfId="0" applyNumberFormat="1" applyFont="1" applyFill="1" applyBorder="1" applyAlignment="1">
      <alignment horizontal="right" vertical="center"/>
    </xf>
    <xf numFmtId="4" fontId="32" fillId="0" borderId="14" xfId="0" applyNumberFormat="1" applyFont="1" applyBorder="1" applyAlignment="1">
      <alignment horizontal="right" vertical="center" wrapText="1"/>
    </xf>
    <xf numFmtId="4" fontId="30" fillId="0" borderId="13" xfId="0" applyNumberFormat="1" applyFont="1" applyBorder="1" applyAlignment="1">
      <alignment vertical="center" wrapText="1"/>
    </xf>
    <xf numFmtId="3" fontId="30" fillId="0" borderId="13" xfId="0" applyNumberFormat="1" applyFont="1" applyBorder="1" applyAlignment="1">
      <alignment horizontal="right" vertical="center" wrapText="1"/>
    </xf>
    <xf numFmtId="3" fontId="24" fillId="26" borderId="14" xfId="0" applyNumberFormat="1" applyFont="1" applyFill="1" applyBorder="1" applyAlignment="1">
      <alignment horizontal="right" vertical="center"/>
    </xf>
    <xf numFmtId="0" fontId="67" fillId="0" borderId="13" xfId="0" applyFont="1" applyBorder="1" applyAlignment="1">
      <alignment vertical="center" wrapText="1"/>
    </xf>
    <xf numFmtId="0" fontId="85" fillId="26" borderId="14" xfId="0" applyFont="1" applyFill="1" applyBorder="1" applyAlignment="1">
      <alignment horizontal="center" vertical="center"/>
    </xf>
    <xf numFmtId="0" fontId="67" fillId="26" borderId="14" xfId="0" applyFont="1" applyFill="1" applyBorder="1" applyAlignment="1">
      <alignment horizontal="center" vertical="center"/>
    </xf>
    <xf numFmtId="3" fontId="83" fillId="26" borderId="14" xfId="0" applyNumberFormat="1" applyFont="1" applyFill="1" applyBorder="1" applyAlignment="1">
      <alignment horizontal="center" vertical="center"/>
    </xf>
    <xf numFmtId="3" fontId="67" fillId="26" borderId="14" xfId="0" applyNumberFormat="1" applyFont="1" applyFill="1" applyBorder="1" applyAlignment="1">
      <alignment horizontal="center" vertical="center"/>
    </xf>
    <xf numFmtId="3" fontId="67" fillId="0" borderId="13" xfId="0" applyNumberFormat="1" applyFont="1" applyBorder="1" applyAlignment="1">
      <alignment vertical="center" wrapText="1"/>
    </xf>
    <xf numFmtId="10" fontId="67" fillId="0" borderId="13" xfId="0" applyNumberFormat="1" applyFont="1" applyBorder="1" applyAlignment="1">
      <alignment vertical="center" wrapText="1"/>
    </xf>
    <xf numFmtId="10" fontId="32" fillId="0" borderId="14" xfId="656" applyNumberFormat="1" applyFont="1" applyBorder="1" applyAlignment="1">
      <alignment vertical="center"/>
    </xf>
    <xf numFmtId="3" fontId="0" fillId="0" borderId="0" xfId="0" applyNumberFormat="1"/>
    <xf numFmtId="10" fontId="0" fillId="0" borderId="0" xfId="0" applyNumberFormat="1"/>
    <xf numFmtId="0" fontId="82" fillId="26" borderId="14" xfId="0" applyFont="1" applyFill="1" applyBorder="1" applyAlignment="1">
      <alignment horizontal="center" vertical="center"/>
    </xf>
    <xf numFmtId="2" fontId="67" fillId="0" borderId="14" xfId="0" applyNumberFormat="1" applyFont="1" applyBorder="1" applyAlignment="1">
      <alignment horizontal="right" vertical="center"/>
    </xf>
    <xf numFmtId="2" fontId="67" fillId="0" borderId="13" xfId="0" applyNumberFormat="1" applyFont="1" applyBorder="1" applyAlignment="1">
      <alignment vertical="center" wrapText="1"/>
    </xf>
    <xf numFmtId="2" fontId="82" fillId="26" borderId="14" xfId="0" applyNumberFormat="1" applyFont="1" applyFill="1" applyBorder="1" applyAlignment="1">
      <alignment horizontal="center" vertical="center"/>
    </xf>
    <xf numFmtId="2" fontId="67" fillId="26" borderId="14" xfId="0" applyNumberFormat="1" applyFont="1" applyFill="1" applyBorder="1" applyAlignment="1">
      <alignment horizontal="center" vertical="center"/>
    </xf>
    <xf numFmtId="2" fontId="0" fillId="0" borderId="0" xfId="0" applyNumberFormat="1"/>
    <xf numFmtId="4" fontId="32" fillId="0" borderId="14" xfId="0" applyNumberFormat="1" applyFont="1" applyBorder="1" applyAlignment="1">
      <alignment horizontal="left" vertical="center" wrapText="1"/>
    </xf>
    <xf numFmtId="4" fontId="0" fillId="0" borderId="0" xfId="0" applyNumberFormat="1"/>
    <xf numFmtId="0" fontId="77" fillId="25" borderId="33" xfId="0" applyFont="1" applyFill="1" applyBorder="1" applyAlignment="1">
      <alignment vertical="center" wrapText="1"/>
    </xf>
    <xf numFmtId="0" fontId="86" fillId="24" borderId="33" xfId="0" applyFont="1" applyFill="1" applyBorder="1" applyAlignment="1">
      <alignment horizontal="center" vertical="center" wrapText="1"/>
    </xf>
    <xf numFmtId="4" fontId="84" fillId="0" borderId="33" xfId="0" applyNumberFormat="1" applyFont="1" applyBorder="1"/>
    <xf numFmtId="10" fontId="84" fillId="0" borderId="33" xfId="0" applyNumberFormat="1" applyFont="1" applyBorder="1"/>
    <xf numFmtId="3" fontId="39" fillId="28" borderId="14" xfId="0" applyNumberFormat="1" applyFont="1" applyFill="1" applyBorder="1" applyAlignment="1">
      <alignment horizontal="right" vertical="center" wrapText="1"/>
    </xf>
    <xf numFmtId="0" fontId="28" fillId="25" borderId="17" xfId="0" applyFont="1" applyFill="1" applyBorder="1" applyAlignment="1">
      <alignment vertical="center" wrapText="1"/>
    </xf>
    <xf numFmtId="174" fontId="32" fillId="0" borderId="10" xfId="0" applyNumberFormat="1" applyFont="1" applyBorder="1" applyAlignment="1">
      <alignment horizontal="right" vertical="center"/>
    </xf>
    <xf numFmtId="0" fontId="30" fillId="0" borderId="10" xfId="0" applyFont="1" applyBorder="1" applyAlignment="1">
      <alignment vertical="center"/>
    </xf>
    <xf numFmtId="167" fontId="30" fillId="0" borderId="10" xfId="656" applyFont="1" applyBorder="1" applyAlignment="1">
      <alignment vertical="center" wrapText="1"/>
    </xf>
    <xf numFmtId="10" fontId="63" fillId="0" borderId="13" xfId="0" applyNumberFormat="1" applyFont="1" applyBorder="1" applyAlignment="1">
      <alignment vertical="center" wrapText="1"/>
    </xf>
    <xf numFmtId="10" fontId="32" fillId="0" borderId="14" xfId="0" applyNumberFormat="1" applyFont="1" applyBorder="1" applyAlignment="1">
      <alignment horizontal="right" vertical="center" wrapText="1"/>
    </xf>
    <xf numFmtId="10" fontId="63" fillId="0" borderId="13" xfId="0" applyNumberFormat="1" applyFont="1" applyBorder="1" applyAlignment="1">
      <alignment horizontal="right" vertical="center" wrapText="1"/>
    </xf>
    <xf numFmtId="0" fontId="87" fillId="0" borderId="0" xfId="0" quotePrefix="1" applyFont="1"/>
    <xf numFmtId="0" fontId="32" fillId="28" borderId="14" xfId="0" applyFont="1" applyFill="1" applyBorder="1" applyAlignment="1">
      <alignment horizontal="center" vertical="center"/>
    </xf>
    <xf numFmtId="0" fontId="32" fillId="28" borderId="14" xfId="0" applyFont="1" applyFill="1" applyBorder="1" applyAlignment="1">
      <alignment horizontal="right" vertical="center"/>
    </xf>
    <xf numFmtId="2" fontId="32" fillId="28" borderId="14" xfId="0" applyNumberFormat="1" applyFont="1" applyFill="1" applyBorder="1" applyAlignment="1">
      <alignment horizontal="right" vertical="center"/>
    </xf>
    <xf numFmtId="0" fontId="28" fillId="25" borderId="17" xfId="0" applyFont="1" applyFill="1" applyBorder="1" applyAlignment="1">
      <alignment vertical="center" wrapText="1"/>
    </xf>
    <xf numFmtId="0" fontId="28" fillId="25" borderId="12" xfId="0" applyFont="1" applyFill="1" applyBorder="1" applyAlignment="1">
      <alignment vertical="center" wrapText="1"/>
    </xf>
    <xf numFmtId="0" fontId="28" fillId="25" borderId="11" xfId="0" applyFont="1" applyFill="1" applyBorder="1" applyAlignment="1">
      <alignment vertical="center" wrapText="1"/>
    </xf>
    <xf numFmtId="0" fontId="28" fillId="25" borderId="31" xfId="0" applyFont="1" applyFill="1" applyBorder="1" applyAlignment="1">
      <alignment vertical="center" wrapText="1"/>
    </xf>
    <xf numFmtId="0" fontId="28" fillId="25" borderId="35" xfId="0" applyFont="1" applyFill="1" applyBorder="1" applyAlignment="1">
      <alignment vertical="center" wrapText="1"/>
    </xf>
    <xf numFmtId="0" fontId="88" fillId="26" borderId="14" xfId="0" applyFont="1" applyFill="1" applyBorder="1" applyAlignment="1">
      <alignment horizontal="center" vertical="center"/>
    </xf>
    <xf numFmtId="167" fontId="1" fillId="28" borderId="0" xfId="656" applyFont="1" applyFill="1" applyAlignment="1">
      <alignment horizontal="center" vertical="center"/>
    </xf>
    <xf numFmtId="0" fontId="28" fillId="25" borderId="17" xfId="0" applyFont="1" applyFill="1" applyBorder="1" applyAlignment="1">
      <alignment vertical="center" wrapText="1"/>
    </xf>
    <xf numFmtId="0" fontId="28" fillId="25" borderId="12" xfId="0" applyFont="1" applyFill="1" applyBorder="1" applyAlignment="1">
      <alignment vertical="center" wrapText="1"/>
    </xf>
    <xf numFmtId="0" fontId="28" fillId="25" borderId="11" xfId="0" applyFont="1" applyFill="1" applyBorder="1" applyAlignment="1">
      <alignment vertical="center" wrapText="1"/>
    </xf>
    <xf numFmtId="0" fontId="75" fillId="25" borderId="32" xfId="0" applyFont="1" applyFill="1" applyBorder="1" applyAlignment="1">
      <alignment vertical="center" wrapText="1"/>
    </xf>
    <xf numFmtId="0" fontId="32" fillId="28" borderId="33" xfId="0" applyFont="1" applyFill="1" applyBorder="1" applyAlignment="1">
      <alignment horizontal="center" vertical="center"/>
    </xf>
    <xf numFmtId="3" fontId="32" fillId="28" borderId="39" xfId="0" applyNumberFormat="1" applyFont="1" applyFill="1" applyBorder="1" applyAlignment="1">
      <alignment horizontal="right" vertical="center"/>
    </xf>
    <xf numFmtId="3" fontId="32" fillId="28" borderId="33" xfId="0" applyNumberFormat="1" applyFont="1" applyFill="1" applyBorder="1" applyAlignment="1">
      <alignment horizontal="right" vertical="center"/>
    </xf>
    <xf numFmtId="0" fontId="75" fillId="30" borderId="35" xfId="0" applyFont="1" applyFill="1" applyBorder="1" applyAlignment="1">
      <alignment vertical="center" wrapText="1"/>
    </xf>
    <xf numFmtId="0" fontId="88" fillId="0" borderId="33" xfId="0" applyFont="1" applyBorder="1" applyAlignment="1">
      <alignment vertical="top" wrapText="1"/>
    </xf>
    <xf numFmtId="0" fontId="88" fillId="26" borderId="33" xfId="0" applyFont="1" applyFill="1" applyBorder="1" applyAlignment="1">
      <alignment vertical="center" wrapText="1"/>
    </xf>
    <xf numFmtId="3" fontId="88" fillId="0" borderId="14" xfId="0" applyNumberFormat="1" applyFont="1" applyBorder="1" applyAlignment="1">
      <alignment horizontal="right" vertical="center" wrapText="1"/>
    </xf>
    <xf numFmtId="3" fontId="88" fillId="0" borderId="14" xfId="0" applyNumberFormat="1" applyFont="1" applyBorder="1" applyAlignment="1">
      <alignment horizontal="right" vertical="center"/>
    </xf>
    <xf numFmtId="0" fontId="88" fillId="0" borderId="14" xfId="0" applyFont="1" applyBorder="1" applyAlignment="1">
      <alignment horizontal="left" vertical="center" wrapText="1"/>
    </xf>
    <xf numFmtId="0" fontId="88" fillId="0" borderId="14" xfId="0" applyFont="1" applyBorder="1" applyAlignment="1">
      <alignment vertical="center" wrapText="1"/>
    </xf>
    <xf numFmtId="0" fontId="88" fillId="26" borderId="37" xfId="0" applyFont="1" applyFill="1" applyBorder="1" applyAlignment="1">
      <alignment vertical="center" wrapText="1"/>
    </xf>
    <xf numFmtId="0" fontId="88" fillId="0" borderId="42" xfId="0" applyFont="1" applyBorder="1" applyAlignment="1">
      <alignment vertical="top" wrapText="1"/>
    </xf>
    <xf numFmtId="0" fontId="88" fillId="26" borderId="10" xfId="0" applyFont="1" applyFill="1" applyBorder="1" applyAlignment="1">
      <alignment vertical="center" wrapText="1"/>
    </xf>
    <xf numFmtId="0" fontId="83" fillId="0" borderId="37" xfId="0" applyFont="1" applyBorder="1" applyAlignment="1">
      <alignment vertical="center" wrapText="1"/>
    </xf>
    <xf numFmtId="0" fontId="88" fillId="26" borderId="43" xfId="0" applyFont="1" applyFill="1" applyBorder="1" applyAlignment="1">
      <alignment vertical="center" wrapText="1"/>
    </xf>
    <xf numFmtId="0" fontId="88" fillId="0" borderId="14" xfId="0" applyFont="1" applyBorder="1" applyAlignment="1">
      <alignment horizontal="right" vertical="center"/>
    </xf>
    <xf numFmtId="0" fontId="89" fillId="30" borderId="10" xfId="0" applyFont="1" applyFill="1" applyBorder="1"/>
    <xf numFmtId="0" fontId="28" fillId="27" borderId="0" xfId="0" applyFont="1" applyFill="1" applyBorder="1" applyAlignment="1">
      <alignment horizontal="right" vertical="center" wrapText="1"/>
    </xf>
    <xf numFmtId="0" fontId="28" fillId="27" borderId="31" xfId="0" applyFont="1" applyFill="1" applyBorder="1" applyAlignment="1">
      <alignment horizontal="right" vertical="center" wrapText="1"/>
    </xf>
    <xf numFmtId="0" fontId="28" fillId="27" borderId="10" xfId="0" applyFont="1" applyFill="1" applyBorder="1" applyAlignment="1">
      <alignment horizontal="right" vertical="center" wrapText="1"/>
    </xf>
    <xf numFmtId="49" fontId="25" fillId="26" borderId="33" xfId="0" applyNumberFormat="1" applyFont="1" applyFill="1" applyBorder="1" applyAlignment="1">
      <alignment horizontal="center" vertical="center" wrapText="1"/>
    </xf>
    <xf numFmtId="0" fontId="25" fillId="26" borderId="33" xfId="0" applyFont="1" applyFill="1" applyBorder="1" applyAlignment="1">
      <alignment horizontal="center" vertical="center" wrapText="1"/>
    </xf>
    <xf numFmtId="0" fontId="90" fillId="26" borderId="0" xfId="0" applyFont="1" applyFill="1" applyAlignment="1">
      <alignment vertical="center"/>
    </xf>
    <xf numFmtId="0" fontId="72" fillId="24" borderId="44" xfId="0" applyFont="1" applyFill="1" applyBorder="1" applyAlignment="1">
      <alignment vertical="center" wrapText="1"/>
    </xf>
    <xf numFmtId="0" fontId="72" fillId="24" borderId="45" xfId="0" applyFont="1" applyFill="1" applyBorder="1" applyAlignment="1">
      <alignment vertical="center" wrapText="1"/>
    </xf>
    <xf numFmtId="0" fontId="69" fillId="25" borderId="32" xfId="0" applyFont="1" applyFill="1" applyBorder="1" applyAlignment="1">
      <alignment vertical="center" wrapText="1"/>
    </xf>
    <xf numFmtId="0" fontId="63" fillId="0" borderId="34" xfId="0" applyFont="1" applyBorder="1" applyAlignment="1">
      <alignment horizontal="right" vertical="center"/>
    </xf>
    <xf numFmtId="0" fontId="90" fillId="26" borderId="10" xfId="0" applyFont="1" applyFill="1" applyBorder="1" applyAlignment="1">
      <alignment vertical="center"/>
    </xf>
    <xf numFmtId="0" fontId="90" fillId="26" borderId="38" xfId="0" applyFont="1" applyFill="1" applyBorder="1" applyAlignment="1">
      <alignment vertical="center"/>
    </xf>
    <xf numFmtId="3" fontId="63" fillId="0" borderId="34" xfId="0" applyNumberFormat="1" applyFont="1" applyBorder="1" applyAlignment="1">
      <alignment horizontal="right" vertical="center"/>
    </xf>
    <xf numFmtId="0" fontId="90" fillId="26" borderId="13" xfId="0" applyFont="1" applyFill="1" applyBorder="1" applyAlignment="1">
      <alignment vertical="center"/>
    </xf>
    <xf numFmtId="0" fontId="90" fillId="26" borderId="11" xfId="0" applyFont="1" applyFill="1" applyBorder="1" applyAlignment="1">
      <alignment vertical="center"/>
    </xf>
    <xf numFmtId="0" fontId="90" fillId="26" borderId="36" xfId="0" applyFont="1" applyFill="1" applyBorder="1" applyAlignment="1">
      <alignment vertical="center"/>
    </xf>
    <xf numFmtId="0" fontId="90" fillId="26" borderId="14" xfId="0" applyFont="1" applyFill="1" applyBorder="1" applyAlignment="1">
      <alignment vertical="center"/>
    </xf>
    <xf numFmtId="3" fontId="63" fillId="26" borderId="14" xfId="0" applyNumberFormat="1" applyFont="1" applyFill="1" applyBorder="1" applyAlignment="1">
      <alignment horizontal="right" vertical="center"/>
    </xf>
    <xf numFmtId="3" fontId="63" fillId="26" borderId="10" xfId="0" applyNumberFormat="1" applyFont="1" applyFill="1" applyBorder="1" applyAlignment="1">
      <alignment horizontal="right" vertical="center"/>
    </xf>
    <xf numFmtId="0" fontId="63" fillId="0" borderId="14" xfId="0" applyFont="1" applyBorder="1" applyAlignment="1">
      <alignment horizontal="right" vertical="center" wrapText="1"/>
    </xf>
    <xf numFmtId="0" fontId="72" fillId="24" borderId="47" xfId="0" applyFont="1" applyFill="1" applyBorder="1" applyAlignment="1">
      <alignment horizontal="center" vertical="center" wrapText="1"/>
    </xf>
    <xf numFmtId="0" fontId="67" fillId="0" borderId="14" xfId="0" applyFont="1" applyBorder="1" applyAlignment="1">
      <alignment vertical="center" wrapText="1"/>
    </xf>
    <xf numFmtId="0" fontId="63" fillId="26" borderId="14" xfId="0" applyFont="1" applyFill="1" applyBorder="1" applyAlignment="1">
      <alignment horizontal="right" vertical="center"/>
    </xf>
    <xf numFmtId="0" fontId="39" fillId="26" borderId="14" xfId="0" applyFont="1" applyFill="1" applyBorder="1" applyAlignment="1">
      <alignment horizontal="right" vertical="center"/>
    </xf>
    <xf numFmtId="3" fontId="65" fillId="25" borderId="27" xfId="0" applyNumberFormat="1" applyFont="1" applyFill="1" applyBorder="1" applyAlignment="1">
      <alignment horizontal="right" vertical="center"/>
    </xf>
    <xf numFmtId="0" fontId="37" fillId="28" borderId="0" xfId="0" applyFont="1" applyFill="1" applyAlignment="1">
      <alignment vertical="center"/>
    </xf>
    <xf numFmtId="0" fontId="21" fillId="28" borderId="0" xfId="0" applyFont="1" applyFill="1" applyAlignment="1">
      <alignment vertical="center"/>
    </xf>
    <xf numFmtId="0" fontId="0" fillId="28" borderId="0" xfId="0" applyFill="1" applyAlignment="1">
      <alignment vertical="center"/>
    </xf>
    <xf numFmtId="167" fontId="0" fillId="28" borderId="0" xfId="656" applyFont="1" applyFill="1" applyAlignment="1">
      <alignment vertical="center"/>
    </xf>
    <xf numFmtId="0" fontId="23" fillId="0" borderId="10" xfId="0" applyFont="1" applyBorder="1" applyAlignment="1">
      <alignment horizontal="right" vertical="center"/>
    </xf>
    <xf numFmtId="167" fontId="24" fillId="28" borderId="0" xfId="656" applyFont="1" applyFill="1" applyBorder="1" applyAlignment="1">
      <alignment vertical="center"/>
    </xf>
    <xf numFmtId="167" fontId="25" fillId="28" borderId="0" xfId="656" applyFont="1" applyFill="1" applyBorder="1" applyAlignment="1">
      <alignment vertical="center"/>
    </xf>
    <xf numFmtId="167" fontId="25" fillId="28" borderId="0" xfId="656" applyFont="1" applyFill="1" applyBorder="1" applyAlignment="1">
      <alignment vertical="center" wrapText="1"/>
    </xf>
    <xf numFmtId="0" fontId="22" fillId="28" borderId="0" xfId="0" applyFont="1" applyFill="1" applyAlignment="1">
      <alignment vertical="center" wrapText="1"/>
    </xf>
    <xf numFmtId="0" fontId="22" fillId="28" borderId="0" xfId="0" applyFont="1" applyFill="1" applyAlignment="1">
      <alignment vertical="center"/>
    </xf>
    <xf numFmtId="167" fontId="22" fillId="28" borderId="0" xfId="656" applyFont="1" applyFill="1" applyAlignment="1">
      <alignment vertical="center"/>
    </xf>
    <xf numFmtId="0" fontId="31" fillId="26" borderId="14" xfId="0" applyFont="1" applyFill="1" applyBorder="1" applyAlignment="1">
      <alignment horizontal="center" vertical="center" wrapText="1"/>
    </xf>
    <xf numFmtId="0" fontId="41" fillId="0" borderId="14" xfId="0" applyFont="1" applyBorder="1" applyAlignment="1">
      <alignment vertical="center" wrapText="1"/>
    </xf>
    <xf numFmtId="0" fontId="91" fillId="25" borderId="10" xfId="0" applyFont="1" applyFill="1" applyBorder="1" applyAlignment="1">
      <alignment vertical="center" wrapText="1"/>
    </xf>
    <xf numFmtId="2" fontId="35" fillId="25" borderId="13" xfId="0" applyNumberFormat="1" applyFont="1" applyFill="1" applyBorder="1" applyAlignment="1">
      <alignment horizontal="right" vertical="center"/>
    </xf>
    <xf numFmtId="2" fontId="40" fillId="25" borderId="27" xfId="0" applyNumberFormat="1" applyFont="1" applyFill="1" applyBorder="1" applyAlignment="1">
      <alignment horizontal="right" vertical="center"/>
    </xf>
    <xf numFmtId="2" fontId="40" fillId="25" borderId="10" xfId="0" applyNumberFormat="1" applyFont="1" applyFill="1" applyBorder="1" applyAlignment="1">
      <alignment horizontal="right" vertical="center"/>
    </xf>
    <xf numFmtId="2" fontId="40" fillId="25" borderId="13" xfId="0" applyNumberFormat="1" applyFont="1" applyFill="1" applyBorder="1" applyAlignment="1">
      <alignment horizontal="right" vertical="center"/>
    </xf>
    <xf numFmtId="10" fontId="32" fillId="0" borderId="14" xfId="657" applyNumberFormat="1" applyFont="1" applyBorder="1" applyAlignment="1">
      <alignment vertical="center"/>
    </xf>
    <xf numFmtId="10" fontId="30" fillId="0" borderId="13" xfId="657" applyNumberFormat="1" applyFont="1" applyBorder="1" applyAlignment="1">
      <alignment vertical="center" wrapText="1"/>
    </xf>
    <xf numFmtId="4" fontId="0" fillId="0" borderId="10" xfId="0" applyNumberFormat="1" applyBorder="1" applyAlignment="1">
      <alignment horizontal="center" vertical="center" wrapText="1"/>
    </xf>
    <xf numFmtId="0" fontId="84" fillId="31" borderId="10" xfId="0" applyFont="1" applyFill="1" applyBorder="1" applyAlignment="1">
      <alignment horizontal="center" vertical="center" wrapText="1"/>
    </xf>
    <xf numFmtId="10" fontId="0" fillId="0" borderId="10" xfId="0" applyNumberFormat="1" applyBorder="1" applyAlignment="1">
      <alignment horizontal="center" vertical="center" wrapText="1"/>
    </xf>
    <xf numFmtId="10" fontId="92" fillId="0" borderId="0" xfId="0" applyNumberFormat="1" applyFont="1"/>
    <xf numFmtId="0" fontId="93" fillId="0" borderId="13" xfId="0" applyFont="1" applyBorder="1" applyAlignment="1">
      <alignment vertical="center" wrapText="1"/>
    </xf>
    <xf numFmtId="3" fontId="32" fillId="32" borderId="14" xfId="0" applyNumberFormat="1" applyFont="1" applyFill="1" applyBorder="1" applyAlignment="1">
      <alignment horizontal="right" vertical="center"/>
    </xf>
    <xf numFmtId="0" fontId="32" fillId="32" borderId="14" xfId="0" applyFont="1" applyFill="1" applyBorder="1" applyAlignment="1">
      <alignment horizontal="right" vertical="center"/>
    </xf>
    <xf numFmtId="0" fontId="94" fillId="26" borderId="14" xfId="0" applyFont="1" applyFill="1" applyBorder="1" applyAlignment="1">
      <alignment horizontal="center" vertical="center"/>
    </xf>
    <xf numFmtId="0" fontId="28" fillId="0" borderId="17" xfId="0" applyFont="1" applyFill="1" applyBorder="1" applyAlignment="1">
      <alignment vertical="center" wrapText="1"/>
    </xf>
    <xf numFmtId="0" fontId="51" fillId="0" borderId="14" xfId="0" applyFont="1" applyBorder="1" applyAlignment="1">
      <alignment vertical="center" wrapText="1"/>
    </xf>
    <xf numFmtId="0" fontId="96" fillId="0" borderId="10" xfId="0" applyFont="1" applyBorder="1" applyAlignment="1">
      <alignment horizontal="right"/>
    </xf>
    <xf numFmtId="0" fontId="96" fillId="0" borderId="13" xfId="0" applyFont="1" applyBorder="1" applyAlignment="1">
      <alignment horizontal="right"/>
    </xf>
    <xf numFmtId="0" fontId="98" fillId="0" borderId="33" xfId="0" applyFont="1" applyBorder="1" applyAlignment="1">
      <alignment vertical="center" wrapText="1"/>
    </xf>
    <xf numFmtId="0" fontId="47" fillId="0" borderId="14" xfId="0" applyFont="1" applyBorder="1" applyAlignment="1">
      <alignment vertical="center"/>
    </xf>
    <xf numFmtId="0" fontId="99" fillId="0" borderId="33" xfId="86" applyFont="1" applyBorder="1"/>
    <xf numFmtId="0" fontId="51" fillId="27" borderId="14" xfId="0" applyFont="1" applyFill="1" applyBorder="1" applyAlignment="1">
      <alignment horizontal="right" vertical="center"/>
    </xf>
    <xf numFmtId="0" fontId="101" fillId="0" borderId="41" xfId="0" applyFont="1" applyBorder="1" applyAlignment="1">
      <alignment wrapText="1"/>
    </xf>
    <xf numFmtId="0" fontId="51" fillId="0" borderId="14" xfId="0" applyFont="1" applyBorder="1" applyAlignment="1">
      <alignment horizontal="left" vertical="center" wrapText="1"/>
    </xf>
    <xf numFmtId="0" fontId="51" fillId="0" borderId="14" xfId="0" applyFont="1" applyBorder="1" applyAlignment="1">
      <alignment vertical="center"/>
    </xf>
    <xf numFmtId="3" fontId="51" fillId="0" borderId="14" xfId="0" applyNumberFormat="1" applyFont="1" applyBorder="1" applyAlignment="1">
      <alignment horizontal="right" vertical="center"/>
    </xf>
    <xf numFmtId="0" fontId="100" fillId="27" borderId="17" xfId="0" applyFont="1" applyFill="1" applyBorder="1" applyAlignment="1">
      <alignment horizontal="right" vertical="center" wrapText="1"/>
    </xf>
    <xf numFmtId="0" fontId="100" fillId="27" borderId="12" xfId="0" applyFont="1" applyFill="1" applyBorder="1" applyAlignment="1">
      <alignment horizontal="right" vertical="center" wrapText="1"/>
    </xf>
    <xf numFmtId="0" fontId="100" fillId="27" borderId="11" xfId="0" applyFont="1" applyFill="1" applyBorder="1" applyAlignment="1">
      <alignment horizontal="right" vertical="center" wrapText="1"/>
    </xf>
    <xf numFmtId="0" fontId="107" fillId="25" borderId="13" xfId="0" applyFont="1" applyFill="1" applyBorder="1" applyAlignment="1">
      <alignment horizontal="right" vertical="center"/>
    </xf>
    <xf numFmtId="0" fontId="107" fillId="25" borderId="27" xfId="0" applyFont="1" applyFill="1" applyBorder="1" applyAlignment="1">
      <alignment horizontal="right" vertical="center"/>
    </xf>
    <xf numFmtId="0" fontId="107" fillId="28" borderId="0" xfId="0" applyFont="1" applyFill="1"/>
    <xf numFmtId="0" fontId="107" fillId="25" borderId="10" xfId="0" applyFont="1" applyFill="1" applyBorder="1" applyAlignment="1">
      <alignment horizontal="right" vertical="center"/>
    </xf>
    <xf numFmtId="0" fontId="105" fillId="24" borderId="29" xfId="0" applyFont="1" applyFill="1" applyBorder="1" applyAlignment="1">
      <alignment horizontal="left" vertical="center" wrapText="1"/>
    </xf>
    <xf numFmtId="0" fontId="105" fillId="24" borderId="17" xfId="0" applyFont="1" applyFill="1" applyBorder="1" applyAlignment="1">
      <alignment horizontal="left" vertical="center" wrapText="1"/>
    </xf>
    <xf numFmtId="0" fontId="105" fillId="24" borderId="28" xfId="0" applyFont="1" applyFill="1" applyBorder="1" applyAlignment="1">
      <alignment horizontal="center" vertical="center" wrapText="1"/>
    </xf>
    <xf numFmtId="167" fontId="105" fillId="24" borderId="17" xfId="656" applyFont="1" applyFill="1" applyBorder="1" applyAlignment="1">
      <alignment horizontal="center" vertical="center" wrapText="1"/>
    </xf>
    <xf numFmtId="0" fontId="95" fillId="29" borderId="33" xfId="0" applyFont="1" applyFill="1" applyBorder="1" applyAlignment="1">
      <alignment vertical="center"/>
    </xf>
    <xf numFmtId="0" fontId="95" fillId="29" borderId="33" xfId="0" applyFont="1" applyFill="1" applyBorder="1" applyAlignment="1">
      <alignment wrapText="1"/>
    </xf>
    <xf numFmtId="167" fontId="105" fillId="24" borderId="33" xfId="656" applyFont="1" applyFill="1" applyBorder="1" applyAlignment="1">
      <alignment horizontal="center" vertical="center" wrapText="1"/>
    </xf>
    <xf numFmtId="0" fontId="100" fillId="25" borderId="17" xfId="0" applyFont="1" applyFill="1" applyBorder="1" applyAlignment="1">
      <alignment vertical="center" wrapText="1"/>
    </xf>
    <xf numFmtId="0" fontId="100" fillId="25" borderId="32" xfId="0" applyFont="1" applyFill="1" applyBorder="1" applyAlignment="1">
      <alignment vertical="center" wrapText="1"/>
    </xf>
    <xf numFmtId="0" fontId="61" fillId="0" borderId="13" xfId="0" applyFont="1" applyBorder="1" applyAlignment="1">
      <alignment horizontal="center" vertical="center" wrapText="1"/>
    </xf>
    <xf numFmtId="0" fontId="109" fillId="26" borderId="14" xfId="0" applyFont="1" applyFill="1" applyBorder="1" applyAlignment="1">
      <alignment horizontal="center" vertical="center"/>
    </xf>
    <xf numFmtId="0" fontId="61" fillId="26" borderId="14" xfId="0" applyFont="1" applyFill="1" applyBorder="1" applyAlignment="1">
      <alignment horizontal="center" vertical="center"/>
    </xf>
    <xf numFmtId="0" fontId="61" fillId="0" borderId="14" xfId="0" applyFont="1" applyBorder="1" applyAlignment="1">
      <alignment horizontal="center" vertical="center" wrapText="1"/>
    </xf>
    <xf numFmtId="175" fontId="61" fillId="0" borderId="34" xfId="656" applyNumberFormat="1" applyFont="1" applyBorder="1" applyAlignment="1">
      <alignment horizontal="center" vertical="center"/>
    </xf>
    <xf numFmtId="0" fontId="58" fillId="28" borderId="33" xfId="0" applyFont="1" applyFill="1" applyBorder="1" applyAlignment="1">
      <alignment horizontal="center" vertical="center"/>
    </xf>
    <xf numFmtId="0" fontId="58" fillId="0" borderId="33" xfId="0" applyFont="1" applyBorder="1" applyAlignment="1">
      <alignment horizontal="center" vertical="center"/>
    </xf>
    <xf numFmtId="167" fontId="61" fillId="0" borderId="34" xfId="656" applyFont="1" applyBorder="1" applyAlignment="1">
      <alignment horizontal="center" vertical="center"/>
    </xf>
    <xf numFmtId="167" fontId="61" fillId="28" borderId="34" xfId="656" applyFont="1" applyFill="1" applyBorder="1" applyAlignment="1">
      <alignment horizontal="center" vertical="center"/>
    </xf>
    <xf numFmtId="175" fontId="61" fillId="28" borderId="34" xfId="656" applyNumberFormat="1" applyFont="1" applyFill="1" applyBorder="1" applyAlignment="1">
      <alignment horizontal="center" vertical="center"/>
    </xf>
    <xf numFmtId="0" fontId="105" fillId="24" borderId="32" xfId="0" applyFont="1" applyFill="1" applyBorder="1" applyAlignment="1">
      <alignment horizontal="center" vertical="center" wrapText="1"/>
    </xf>
    <xf numFmtId="175" fontId="61" fillId="0" borderId="0" xfId="656" applyNumberFormat="1" applyFont="1" applyBorder="1" applyAlignment="1">
      <alignment horizontal="center" vertical="center" wrapText="1"/>
    </xf>
    <xf numFmtId="175" fontId="58" fillId="0" borderId="33" xfId="0" applyNumberFormat="1" applyFont="1" applyBorder="1" applyAlignment="1">
      <alignment horizontal="center" vertical="center"/>
    </xf>
    <xf numFmtId="167" fontId="61" fillId="0" borderId="17" xfId="656" applyFont="1" applyBorder="1" applyAlignment="1">
      <alignment horizontal="center" vertical="center" wrapText="1"/>
    </xf>
    <xf numFmtId="10" fontId="110" fillId="0" borderId="10" xfId="0" applyNumberFormat="1" applyFont="1" applyBorder="1" applyAlignment="1">
      <alignment horizontal="center" vertical="center" wrapText="1"/>
    </xf>
    <xf numFmtId="4" fontId="84" fillId="0" borderId="10" xfId="0" applyNumberFormat="1" applyFont="1" applyBorder="1" applyAlignment="1">
      <alignment horizontal="center" vertical="center" wrapText="1"/>
    </xf>
    <xf numFmtId="172" fontId="0" fillId="0" borderId="0" xfId="0" applyNumberFormat="1"/>
    <xf numFmtId="4" fontId="92" fillId="0" borderId="0" xfId="0" applyNumberFormat="1" applyFont="1"/>
    <xf numFmtId="0" fontId="28" fillId="27" borderId="17" xfId="0" applyFont="1" applyFill="1" applyBorder="1" applyAlignment="1">
      <alignment horizontal="right" vertical="center" wrapText="1"/>
    </xf>
    <xf numFmtId="0" fontId="28" fillId="27" borderId="12" xfId="0" applyFont="1" applyFill="1" applyBorder="1" applyAlignment="1">
      <alignment horizontal="right" vertical="center" wrapText="1"/>
    </xf>
    <xf numFmtId="0" fontId="28" fillId="25" borderId="17" xfId="0" applyFont="1" applyFill="1" applyBorder="1" applyAlignment="1">
      <alignment vertical="center" wrapText="1"/>
    </xf>
    <xf numFmtId="0" fontId="28" fillId="27" borderId="11" xfId="0" applyFont="1" applyFill="1" applyBorder="1" applyAlignment="1">
      <alignment horizontal="right" vertical="center" wrapText="1"/>
    </xf>
    <xf numFmtId="0" fontId="1" fillId="0" borderId="0" xfId="0" applyFont="1"/>
    <xf numFmtId="167" fontId="1" fillId="0" borderId="0" xfId="656" applyFont="1"/>
    <xf numFmtId="0" fontId="1" fillId="28" borderId="0" xfId="0" applyFont="1" applyFill="1" applyAlignment="1">
      <alignment horizontal="center" vertical="center"/>
    </xf>
    <xf numFmtId="0" fontId="28" fillId="25" borderId="17" xfId="0" applyFont="1" applyFill="1" applyBorder="1" applyAlignment="1">
      <alignment vertical="center" wrapText="1"/>
    </xf>
    <xf numFmtId="0" fontId="28" fillId="25" borderId="12" xfId="0" applyFont="1" applyFill="1" applyBorder="1" applyAlignment="1">
      <alignment vertical="center" wrapText="1"/>
    </xf>
    <xf numFmtId="0" fontId="28" fillId="25" borderId="11" xfId="0" applyFont="1" applyFill="1" applyBorder="1" applyAlignment="1">
      <alignment vertical="center" wrapText="1"/>
    </xf>
    <xf numFmtId="0" fontId="24" fillId="0" borderId="17" xfId="0" applyFont="1" applyBorder="1" applyAlignment="1"/>
    <xf numFmtId="0" fontId="24" fillId="0" borderId="12" xfId="0" applyFont="1" applyBorder="1" applyAlignment="1"/>
    <xf numFmtId="0" fontId="24" fillId="0" borderId="11" xfId="0" applyFont="1" applyBorder="1" applyAlignment="1"/>
    <xf numFmtId="4" fontId="84" fillId="0" borderId="33" xfId="0" applyNumberFormat="1" applyFont="1" applyFill="1" applyBorder="1"/>
    <xf numFmtId="0" fontId="0" fillId="0" borderId="0" xfId="0" applyFill="1"/>
    <xf numFmtId="10" fontId="84" fillId="0" borderId="33" xfId="0" applyNumberFormat="1" applyFont="1" applyFill="1" applyBorder="1"/>
    <xf numFmtId="4" fontId="84" fillId="0" borderId="0" xfId="0" applyNumberFormat="1" applyFont="1" applyFill="1" applyBorder="1"/>
    <xf numFmtId="10" fontId="84" fillId="0" borderId="0" xfId="0" applyNumberFormat="1" applyFont="1" applyFill="1" applyBorder="1"/>
    <xf numFmtId="0" fontId="30" fillId="0" borderId="14" xfId="0" applyFont="1" applyBorder="1" applyAlignment="1">
      <alignment horizontal="right"/>
    </xf>
    <xf numFmtId="0" fontId="67" fillId="0" borderId="14" xfId="0" applyFont="1" applyBorder="1" applyAlignment="1">
      <alignment horizontal="right"/>
    </xf>
    <xf numFmtId="0" fontId="88" fillId="0" borderId="13" xfId="0" applyFont="1" applyBorder="1" applyAlignment="1">
      <alignment vertical="center" wrapText="1"/>
    </xf>
    <xf numFmtId="0" fontId="28" fillId="25" borderId="17" xfId="0" applyFont="1" applyFill="1" applyBorder="1" applyAlignment="1">
      <alignment vertical="center" wrapText="1"/>
    </xf>
    <xf numFmtId="3" fontId="32" fillId="0" borderId="14" xfId="0" applyNumberFormat="1" applyFont="1" applyFill="1" applyBorder="1" applyAlignment="1">
      <alignment horizontal="left" vertical="center" wrapText="1"/>
    </xf>
    <xf numFmtId="3" fontId="32" fillId="0" borderId="14" xfId="0" applyNumberFormat="1" applyFont="1" applyFill="1" applyBorder="1" applyAlignment="1">
      <alignment vertical="center" wrapText="1"/>
    </xf>
    <xf numFmtId="167" fontId="30" fillId="0" borderId="14" xfId="656" applyFont="1" applyFill="1" applyBorder="1" applyAlignment="1">
      <alignment vertical="center" wrapText="1"/>
    </xf>
    <xf numFmtId="0" fontId="28" fillId="25" borderId="17" xfId="0" applyFont="1" applyFill="1" applyBorder="1" applyAlignment="1">
      <alignment vertical="center" wrapText="1"/>
    </xf>
    <xf numFmtId="0" fontId="28" fillId="25" borderId="12" xfId="0" applyFont="1" applyFill="1" applyBorder="1" applyAlignment="1">
      <alignment vertical="center" wrapText="1"/>
    </xf>
    <xf numFmtId="0" fontId="28" fillId="25" borderId="11" xfId="0" applyFont="1" applyFill="1" applyBorder="1" applyAlignment="1">
      <alignment vertical="center" wrapText="1"/>
    </xf>
    <xf numFmtId="0" fontId="32" fillId="0" borderId="14" xfId="0" applyFont="1" applyBorder="1" applyAlignment="1">
      <alignment horizontal="center" vertical="center"/>
    </xf>
    <xf numFmtId="0" fontId="32" fillId="0" borderId="14" xfId="0" applyFont="1" applyFill="1" applyBorder="1" applyAlignment="1">
      <alignment horizontal="left" vertical="center"/>
    </xf>
    <xf numFmtId="0" fontId="32" fillId="0" borderId="14" xfId="0" applyFont="1" applyFill="1" applyBorder="1" applyAlignment="1">
      <alignment horizontal="right" vertical="center"/>
    </xf>
    <xf numFmtId="0" fontId="32" fillId="0" borderId="14" xfId="0" applyFont="1" applyFill="1" applyBorder="1" applyAlignment="1">
      <alignment horizontal="center" vertical="center"/>
    </xf>
    <xf numFmtId="0" fontId="32" fillId="0" borderId="38" xfId="0" applyFont="1" applyFill="1" applyBorder="1" applyAlignment="1">
      <alignment horizontal="right" vertical="center"/>
    </xf>
    <xf numFmtId="0" fontId="75" fillId="0" borderId="0" xfId="0" applyFont="1" applyFill="1" applyBorder="1" applyAlignment="1">
      <alignment horizontal="left" vertical="center"/>
    </xf>
    <xf numFmtId="0" fontId="75" fillId="0" borderId="33" xfId="0" applyFont="1" applyFill="1" applyBorder="1" applyAlignment="1">
      <alignment horizontal="right" vertical="center"/>
    </xf>
    <xf numFmtId="0" fontId="75" fillId="0" borderId="14" xfId="0" applyFont="1" applyFill="1" applyBorder="1" applyAlignment="1">
      <alignment horizontal="center" vertical="center"/>
    </xf>
    <xf numFmtId="0" fontId="75" fillId="0" borderId="14" xfId="0" applyFont="1" applyFill="1" applyBorder="1" applyAlignment="1">
      <alignment horizontal="right" vertical="center"/>
    </xf>
    <xf numFmtId="0" fontId="88" fillId="0" borderId="33" xfId="0" applyFont="1" applyFill="1" applyBorder="1" applyAlignment="1">
      <alignment vertical="center" wrapText="1"/>
    </xf>
    <xf numFmtId="0" fontId="113" fillId="0" borderId="14" xfId="0" applyFont="1" applyFill="1" applyBorder="1" applyAlignment="1">
      <alignment horizontal="center" vertical="center"/>
    </xf>
    <xf numFmtId="0" fontId="88" fillId="0" borderId="13" xfId="0" applyFont="1" applyFill="1" applyBorder="1" applyAlignment="1">
      <alignment vertical="center" wrapText="1"/>
    </xf>
    <xf numFmtId="0" fontId="62" fillId="0" borderId="13" xfId="0" applyFont="1" applyFill="1" applyBorder="1" applyAlignment="1">
      <alignment vertical="center" wrapText="1"/>
    </xf>
    <xf numFmtId="0" fontId="76" fillId="0" borderId="14" xfId="0" applyFont="1" applyFill="1" applyBorder="1" applyAlignment="1">
      <alignment horizontal="center" vertical="center"/>
    </xf>
    <xf numFmtId="0" fontId="75" fillId="0" borderId="14" xfId="0" applyFont="1" applyFill="1" applyBorder="1" applyAlignment="1">
      <alignment horizontal="left" vertical="center" wrapText="1"/>
    </xf>
    <xf numFmtId="0" fontId="32" fillId="0" borderId="14" xfId="0" applyFont="1" applyFill="1" applyBorder="1" applyAlignment="1">
      <alignment horizontal="left" vertical="center" wrapText="1"/>
    </xf>
    <xf numFmtId="0" fontId="77" fillId="25" borderId="33" xfId="87" applyFont="1" applyFill="1" applyBorder="1" applyAlignment="1">
      <alignment vertical="center" wrapText="1"/>
    </xf>
    <xf numFmtId="4" fontId="84" fillId="0" borderId="33" xfId="87" applyNumberFormat="1" applyFont="1" applyBorder="1"/>
    <xf numFmtId="0" fontId="86" fillId="24" borderId="33" xfId="87" applyFont="1" applyFill="1" applyBorder="1" applyAlignment="1">
      <alignment horizontal="center" vertical="center" wrapText="1"/>
    </xf>
    <xf numFmtId="10" fontId="84" fillId="0" borderId="33" xfId="87" applyNumberFormat="1" applyFont="1" applyBorder="1"/>
    <xf numFmtId="3" fontId="26" fillId="24" borderId="17" xfId="0" applyNumberFormat="1" applyFont="1" applyFill="1" applyBorder="1" applyAlignment="1">
      <alignment horizontal="right" vertical="center" wrapText="1"/>
    </xf>
    <xf numFmtId="3" fontId="26" fillId="24" borderId="12" xfId="0" applyNumberFormat="1" applyFont="1" applyFill="1" applyBorder="1" applyAlignment="1">
      <alignment horizontal="right" vertical="center" wrapText="1"/>
    </xf>
    <xf numFmtId="3" fontId="26" fillId="24" borderId="24" xfId="0" applyNumberFormat="1" applyFont="1" applyFill="1" applyBorder="1" applyAlignment="1">
      <alignment horizontal="right" vertical="center" wrapText="1"/>
    </xf>
    <xf numFmtId="0" fontId="34" fillId="25" borderId="10" xfId="0" applyFont="1" applyFill="1" applyBorder="1" applyAlignment="1">
      <alignment horizontal="right" vertical="center" wrapText="1"/>
    </xf>
    <xf numFmtId="3" fontId="28" fillId="27" borderId="17" xfId="0" applyNumberFormat="1" applyFont="1" applyFill="1" applyBorder="1" applyAlignment="1">
      <alignment horizontal="right" vertical="center" wrapText="1"/>
    </xf>
    <xf numFmtId="3" fontId="28" fillId="27" borderId="12" xfId="0" applyNumberFormat="1" applyFont="1" applyFill="1" applyBorder="1" applyAlignment="1">
      <alignment horizontal="right" vertical="center" wrapText="1"/>
    </xf>
    <xf numFmtId="3" fontId="28" fillId="27" borderId="11" xfId="0" applyNumberFormat="1" applyFont="1" applyFill="1" applyBorder="1" applyAlignment="1">
      <alignment horizontal="right" vertical="center" wrapText="1"/>
    </xf>
    <xf numFmtId="3" fontId="28" fillId="25" borderId="17" xfId="0" applyNumberFormat="1" applyFont="1" applyFill="1" applyBorder="1" applyAlignment="1">
      <alignment vertical="center" wrapText="1"/>
    </xf>
    <xf numFmtId="3" fontId="28" fillId="25" borderId="12" xfId="0" applyNumberFormat="1" applyFont="1" applyFill="1" applyBorder="1" applyAlignment="1">
      <alignment vertical="center" wrapText="1"/>
    </xf>
    <xf numFmtId="3" fontId="28" fillId="25" borderId="11" xfId="0" applyNumberFormat="1" applyFont="1" applyFill="1" applyBorder="1" applyAlignment="1">
      <alignment vertical="center" wrapText="1"/>
    </xf>
    <xf numFmtId="3" fontId="34" fillId="25" borderId="17" xfId="0" applyNumberFormat="1" applyFont="1" applyFill="1" applyBorder="1" applyAlignment="1">
      <alignment horizontal="right" vertical="center" wrapText="1"/>
    </xf>
    <xf numFmtId="3" fontId="34" fillId="25" borderId="12" xfId="0" applyNumberFormat="1" applyFont="1" applyFill="1" applyBorder="1" applyAlignment="1">
      <alignment horizontal="right" vertical="center" wrapText="1"/>
    </xf>
    <xf numFmtId="3" fontId="34" fillId="25" borderId="11" xfId="0" applyNumberFormat="1" applyFont="1" applyFill="1" applyBorder="1" applyAlignment="1">
      <alignment horizontal="right" vertical="center" wrapText="1"/>
    </xf>
    <xf numFmtId="3" fontId="26" fillId="24" borderId="17" xfId="0" applyNumberFormat="1" applyFont="1" applyFill="1" applyBorder="1" applyAlignment="1">
      <alignment horizontal="center" vertical="center" wrapText="1"/>
    </xf>
    <xf numFmtId="3" fontId="26" fillId="24" borderId="12" xfId="0" applyNumberFormat="1" applyFont="1" applyFill="1" applyBorder="1" applyAlignment="1">
      <alignment horizontal="center" vertical="center" wrapText="1"/>
    </xf>
    <xf numFmtId="3" fontId="26" fillId="24" borderId="11" xfId="0" applyNumberFormat="1" applyFont="1" applyFill="1" applyBorder="1" applyAlignment="1">
      <alignment horizontal="center" vertical="center" wrapText="1"/>
    </xf>
    <xf numFmtId="0" fontId="24" fillId="0" borderId="17" xfId="0" applyFont="1" applyBorder="1" applyAlignment="1"/>
    <xf numFmtId="0" fontId="24" fillId="0" borderId="12" xfId="0" applyFont="1" applyBorder="1" applyAlignment="1"/>
    <xf numFmtId="0" fontId="24" fillId="0" borderId="11" xfId="0" applyFont="1" applyBorder="1" applyAlignment="1"/>
    <xf numFmtId="171" fontId="25" fillId="0" borderId="17" xfId="0" applyNumberFormat="1" applyFont="1" applyBorder="1" applyAlignment="1">
      <alignment horizontal="left"/>
    </xf>
    <xf numFmtId="0" fontId="25" fillId="0" borderId="12" xfId="0" applyFont="1" applyBorder="1" applyAlignment="1">
      <alignment horizontal="left"/>
    </xf>
    <xf numFmtId="0" fontId="25" fillId="0" borderId="11" xfId="0" applyFont="1" applyBorder="1" applyAlignment="1">
      <alignment horizontal="left"/>
    </xf>
    <xf numFmtId="9" fontId="25" fillId="0" borderId="17" xfId="0" applyNumberFormat="1" applyFont="1" applyBorder="1" applyAlignment="1">
      <alignment horizontal="left" wrapText="1"/>
    </xf>
    <xf numFmtId="0" fontId="25" fillId="0" borderId="12" xfId="0" applyFont="1" applyBorder="1" applyAlignment="1">
      <alignment horizontal="left" wrapText="1"/>
    </xf>
    <xf numFmtId="0" fontId="25" fillId="0" borderId="11" xfId="0" applyFont="1" applyBorder="1" applyAlignment="1">
      <alignment horizontal="left" wrapText="1"/>
    </xf>
    <xf numFmtId="0" fontId="25" fillId="0" borderId="17" xfId="0" applyFont="1" applyBorder="1" applyAlignment="1">
      <alignment wrapText="1"/>
    </xf>
    <xf numFmtId="0" fontId="25" fillId="0" borderId="12" xfId="0" applyFont="1" applyBorder="1" applyAlignment="1">
      <alignment wrapText="1"/>
    </xf>
    <xf numFmtId="0" fontId="25" fillId="0" borderId="11" xfId="0" applyFont="1" applyBorder="1" applyAlignment="1">
      <alignment wrapText="1"/>
    </xf>
    <xf numFmtId="0" fontId="26" fillId="24" borderId="20" xfId="0" applyFont="1" applyFill="1" applyBorder="1" applyAlignment="1">
      <alignment horizontal="center" vertical="center" wrapText="1"/>
    </xf>
    <xf numFmtId="0" fontId="26" fillId="24" borderId="21" xfId="0" applyFont="1" applyFill="1" applyBorder="1" applyAlignment="1">
      <alignment horizontal="center" vertical="center" wrapText="1"/>
    </xf>
    <xf numFmtId="0" fontId="26" fillId="24" borderId="25" xfId="0" applyFont="1" applyFill="1" applyBorder="1" applyAlignment="1">
      <alignment horizontal="center" vertical="center" wrapText="1"/>
    </xf>
    <xf numFmtId="0" fontId="28" fillId="25" borderId="22" xfId="0" applyFont="1" applyFill="1" applyBorder="1" applyAlignment="1">
      <alignment vertical="center" wrapText="1"/>
    </xf>
    <xf numFmtId="0" fontId="28" fillId="25" borderId="23" xfId="0" applyFont="1" applyFill="1" applyBorder="1" applyAlignment="1">
      <alignment vertical="center" wrapText="1"/>
    </xf>
    <xf numFmtId="0" fontId="28" fillId="25" borderId="26" xfId="0" applyFont="1" applyFill="1" applyBorder="1" applyAlignment="1">
      <alignment vertical="center" wrapText="1"/>
    </xf>
    <xf numFmtId="0" fontId="28" fillId="27" borderId="17" xfId="0" applyFont="1" applyFill="1" applyBorder="1" applyAlignment="1">
      <alignment horizontal="right" vertical="center" wrapText="1"/>
    </xf>
    <xf numFmtId="0" fontId="28" fillId="27" borderId="12" xfId="0" applyFont="1" applyFill="1" applyBorder="1" applyAlignment="1">
      <alignment horizontal="right" vertical="center" wrapText="1"/>
    </xf>
    <xf numFmtId="0" fontId="28" fillId="27" borderId="24" xfId="0" applyFont="1" applyFill="1" applyBorder="1" applyAlignment="1">
      <alignment horizontal="right" vertical="center" wrapText="1"/>
    </xf>
    <xf numFmtId="0" fontId="28" fillId="25" borderId="17" xfId="0" applyFont="1" applyFill="1" applyBorder="1" applyAlignment="1">
      <alignment vertical="center" wrapText="1"/>
    </xf>
    <xf numFmtId="0" fontId="28" fillId="25" borderId="12" xfId="0" applyFont="1" applyFill="1" applyBorder="1" applyAlignment="1">
      <alignment vertical="center" wrapText="1"/>
    </xf>
    <xf numFmtId="0" fontId="28" fillId="25" borderId="11" xfId="0" applyFont="1" applyFill="1" applyBorder="1" applyAlignment="1">
      <alignment vertical="center" wrapText="1"/>
    </xf>
    <xf numFmtId="0" fontId="28" fillId="27" borderId="11" xfId="0" applyFont="1" applyFill="1" applyBorder="1" applyAlignment="1">
      <alignment horizontal="right" vertical="center" wrapText="1"/>
    </xf>
    <xf numFmtId="0" fontId="28" fillId="25" borderId="17" xfId="0" applyFont="1" applyFill="1" applyBorder="1" applyAlignment="1">
      <alignment horizontal="left" vertical="center" wrapText="1"/>
    </xf>
    <xf numFmtId="0" fontId="28" fillId="25" borderId="12" xfId="0" applyFont="1" applyFill="1" applyBorder="1" applyAlignment="1">
      <alignment horizontal="left" vertical="center" wrapText="1"/>
    </xf>
    <xf numFmtId="0" fontId="34" fillId="25" borderId="17" xfId="0" applyFont="1" applyFill="1" applyBorder="1" applyAlignment="1">
      <alignment horizontal="right" vertical="center" wrapText="1"/>
    </xf>
    <xf numFmtId="0" fontId="34" fillId="25" borderId="12" xfId="0" applyFont="1" applyFill="1" applyBorder="1" applyAlignment="1">
      <alignment horizontal="right" vertical="center" wrapText="1"/>
    </xf>
    <xf numFmtId="0" fontId="34" fillId="25" borderId="11" xfId="0" applyFont="1" applyFill="1" applyBorder="1" applyAlignment="1">
      <alignment horizontal="right" vertical="center" wrapText="1"/>
    </xf>
    <xf numFmtId="0" fontId="26" fillId="24" borderId="17" xfId="0" applyFont="1" applyFill="1" applyBorder="1" applyAlignment="1">
      <alignment horizontal="right" vertical="center" wrapText="1"/>
    </xf>
    <xf numFmtId="0" fontId="26" fillId="24" borderId="12" xfId="0" applyFont="1" applyFill="1" applyBorder="1" applyAlignment="1">
      <alignment horizontal="right" vertical="center" wrapText="1"/>
    </xf>
    <xf numFmtId="0" fontId="26" fillId="24" borderId="24" xfId="0" applyFont="1" applyFill="1" applyBorder="1" applyAlignment="1">
      <alignment horizontal="right" vertical="center" wrapText="1"/>
    </xf>
    <xf numFmtId="0" fontId="26" fillId="24" borderId="17" xfId="0" applyFont="1" applyFill="1" applyBorder="1" applyAlignment="1">
      <alignment horizontal="center" vertical="center" wrapText="1"/>
    </xf>
    <xf numFmtId="0" fontId="26" fillId="24" borderId="12" xfId="0" applyFont="1" applyFill="1" applyBorder="1" applyAlignment="1">
      <alignment horizontal="center" vertical="center" wrapText="1"/>
    </xf>
    <xf numFmtId="0" fontId="26" fillId="24" borderId="11" xfId="0" applyFont="1" applyFill="1" applyBorder="1" applyAlignment="1">
      <alignment horizontal="center" vertical="center" wrapText="1"/>
    </xf>
    <xf numFmtId="0" fontId="24" fillId="0" borderId="17" xfId="0" applyFont="1" applyBorder="1" applyAlignment="1">
      <alignment vertical="center" wrapText="1"/>
    </xf>
    <xf numFmtId="0" fontId="24" fillId="0" borderId="12" xfId="0" applyFont="1" applyBorder="1" applyAlignment="1">
      <alignment vertical="center" wrapText="1"/>
    </xf>
    <xf numFmtId="0" fontId="24" fillId="0" borderId="11" xfId="0" applyFont="1" applyBorder="1" applyAlignment="1">
      <alignment vertical="center" wrapText="1"/>
    </xf>
    <xf numFmtId="172" fontId="25" fillId="0" borderId="17" xfId="0" applyNumberFormat="1" applyFont="1" applyBorder="1" applyAlignment="1">
      <alignment horizontal="left"/>
    </xf>
    <xf numFmtId="0" fontId="25" fillId="0" borderId="17" xfId="0" applyFont="1" applyBorder="1" applyAlignment="1"/>
    <xf numFmtId="0" fontId="25" fillId="0" borderId="12" xfId="0" applyFont="1" applyBorder="1" applyAlignment="1"/>
    <xf numFmtId="0" fontId="25" fillId="0" borderId="11" xfId="0" applyFont="1" applyBorder="1" applyAlignment="1"/>
    <xf numFmtId="0" fontId="28" fillId="25" borderId="17" xfId="0" applyFont="1" applyFill="1" applyBorder="1" applyAlignment="1">
      <alignment horizontal="center" vertical="center" wrapText="1"/>
    </xf>
    <xf numFmtId="0" fontId="28" fillId="25" borderId="12" xfId="0" applyFont="1" applyFill="1" applyBorder="1" applyAlignment="1">
      <alignment horizontal="center" vertical="center" wrapText="1"/>
    </xf>
    <xf numFmtId="0" fontId="50" fillId="27" borderId="17" xfId="0" applyFont="1" applyFill="1" applyBorder="1" applyAlignment="1">
      <alignment horizontal="right" vertical="center" wrapText="1"/>
    </xf>
    <xf numFmtId="0" fontId="50" fillId="27" borderId="12" xfId="0" applyFont="1" applyFill="1" applyBorder="1" applyAlignment="1">
      <alignment horizontal="right" vertical="center" wrapText="1"/>
    </xf>
    <xf numFmtId="0" fontId="50" fillId="27" borderId="11" xfId="0" applyFont="1" applyFill="1" applyBorder="1" applyAlignment="1">
      <alignment horizontal="right" vertical="center" wrapText="1"/>
    </xf>
    <xf numFmtId="0" fontId="45" fillId="0" borderId="17" xfId="0" applyFont="1" applyBorder="1" applyAlignment="1">
      <alignment wrapText="1"/>
    </xf>
    <xf numFmtId="0" fontId="45" fillId="0" borderId="12" xfId="0" applyFont="1" applyBorder="1" applyAlignment="1">
      <alignment wrapText="1"/>
    </xf>
    <xf numFmtId="0" fontId="45" fillId="0" borderId="11" xfId="0" applyFont="1" applyBorder="1" applyAlignment="1">
      <alignment wrapText="1"/>
    </xf>
    <xf numFmtId="0" fontId="50" fillId="27" borderId="24" xfId="0" applyFont="1" applyFill="1" applyBorder="1" applyAlignment="1">
      <alignment horizontal="right" vertical="center" wrapText="1"/>
    </xf>
    <xf numFmtId="0" fontId="44" fillId="0" borderId="17" xfId="0" applyFont="1" applyBorder="1" applyAlignment="1"/>
    <xf numFmtId="0" fontId="44" fillId="0" borderId="12" xfId="0" applyFont="1" applyBorder="1" applyAlignment="1"/>
    <xf numFmtId="0" fontId="44" fillId="0" borderId="11" xfId="0" applyFont="1" applyBorder="1" applyAlignment="1"/>
    <xf numFmtId="0" fontId="44" fillId="0" borderId="17" xfId="0" applyNumberFormat="1" applyFont="1" applyBorder="1" applyAlignment="1">
      <alignment wrapText="1"/>
    </xf>
    <xf numFmtId="0" fontId="44" fillId="0" borderId="12" xfId="0" applyNumberFormat="1" applyFont="1" applyBorder="1" applyAlignment="1">
      <alignment wrapText="1"/>
    </xf>
    <xf numFmtId="0" fontId="44" fillId="0" borderId="11" xfId="0" applyNumberFormat="1" applyFont="1" applyBorder="1" applyAlignment="1">
      <alignment wrapText="1"/>
    </xf>
    <xf numFmtId="172" fontId="45" fillId="0" borderId="17" xfId="0" applyNumberFormat="1" applyFont="1" applyBorder="1" applyAlignment="1"/>
    <xf numFmtId="0" fontId="45" fillId="0" borderId="12" xfId="0" applyFont="1" applyBorder="1" applyAlignment="1"/>
    <xf numFmtId="0" fontId="45" fillId="0" borderId="11" xfId="0" applyFont="1" applyBorder="1" applyAlignment="1"/>
    <xf numFmtId="9" fontId="45" fillId="0" borderId="17" xfId="0" applyNumberFormat="1" applyFont="1" applyBorder="1" applyAlignment="1">
      <alignment wrapText="1"/>
    </xf>
    <xf numFmtId="0" fontId="56" fillId="25" borderId="17" xfId="0" applyFont="1" applyFill="1" applyBorder="1" applyAlignment="1">
      <alignment horizontal="right" vertical="center" wrapText="1"/>
    </xf>
    <xf numFmtId="0" fontId="56" fillId="25" borderId="12" xfId="0" applyFont="1" applyFill="1" applyBorder="1" applyAlignment="1">
      <alignment horizontal="right" vertical="center" wrapText="1"/>
    </xf>
    <xf numFmtId="0" fontId="56" fillId="25" borderId="11" xfId="0" applyFont="1" applyFill="1" applyBorder="1" applyAlignment="1">
      <alignment horizontal="right" vertical="center" wrapText="1"/>
    </xf>
    <xf numFmtId="0" fontId="0" fillId="0" borderId="12" xfId="0" applyBorder="1"/>
    <xf numFmtId="0" fontId="0" fillId="0" borderId="11" xfId="0" applyBorder="1"/>
    <xf numFmtId="0" fontId="24" fillId="0" borderId="17" xfId="0" applyFont="1" applyBorder="1" applyAlignment="1">
      <alignment wrapText="1"/>
    </xf>
    <xf numFmtId="0" fontId="24" fillId="0" borderId="12" xfId="0" applyFont="1" applyBorder="1" applyAlignment="1">
      <alignment wrapText="1"/>
    </xf>
    <xf numFmtId="0" fontId="24" fillId="0" borderId="11" xfId="0" applyFont="1" applyBorder="1" applyAlignment="1">
      <alignment wrapText="1"/>
    </xf>
    <xf numFmtId="172" fontId="25" fillId="0" borderId="17" xfId="0" applyNumberFormat="1" applyFont="1" applyBorder="1" applyAlignment="1">
      <alignment horizontal="left" vertical="center"/>
    </xf>
    <xf numFmtId="0" fontId="25" fillId="0" borderId="12" xfId="0" applyFont="1" applyBorder="1" applyAlignment="1">
      <alignment horizontal="left" vertical="center"/>
    </xf>
    <xf numFmtId="0" fontId="25" fillId="0" borderId="11" xfId="0" applyFont="1" applyBorder="1" applyAlignment="1">
      <alignment horizontal="left" vertical="center"/>
    </xf>
    <xf numFmtId="9" fontId="25" fillId="0" borderId="17" xfId="0" applyNumberFormat="1" applyFont="1" applyBorder="1" applyAlignment="1">
      <alignment horizontal="left" vertical="center" wrapText="1"/>
    </xf>
    <xf numFmtId="0" fontId="25" fillId="0" borderId="12" xfId="0" applyFont="1" applyBorder="1" applyAlignment="1">
      <alignment horizontal="left" vertical="center" wrapText="1"/>
    </xf>
    <xf numFmtId="0" fontId="25" fillId="0" borderId="11" xfId="0" applyFont="1" applyBorder="1" applyAlignment="1">
      <alignment horizontal="left" vertical="center" wrapText="1"/>
    </xf>
    <xf numFmtId="0" fontId="28" fillId="27" borderId="34" xfId="0" applyFont="1" applyFill="1" applyBorder="1" applyAlignment="1">
      <alignment horizontal="right" vertical="center" wrapText="1"/>
    </xf>
    <xf numFmtId="0" fontId="28" fillId="27" borderId="14" xfId="0" applyFont="1" applyFill="1" applyBorder="1" applyAlignment="1">
      <alignment horizontal="right" vertical="center" wrapText="1"/>
    </xf>
    <xf numFmtId="0" fontId="72" fillId="24" borderId="18" xfId="0" applyFont="1" applyFill="1" applyBorder="1" applyAlignment="1">
      <alignment horizontal="center" vertical="center" wrapText="1"/>
    </xf>
    <xf numFmtId="0" fontId="72" fillId="24" borderId="48" xfId="0" applyFont="1" applyFill="1" applyBorder="1" applyAlignment="1">
      <alignment horizontal="center" vertical="center" wrapText="1"/>
    </xf>
    <xf numFmtId="0" fontId="72" fillId="24" borderId="19" xfId="0" applyFont="1" applyFill="1" applyBorder="1" applyAlignment="1">
      <alignment horizontal="center" vertical="center" wrapText="1"/>
    </xf>
    <xf numFmtId="0" fontId="72" fillId="24" borderId="49" xfId="0" applyFont="1" applyFill="1" applyBorder="1" applyAlignment="1">
      <alignment horizontal="center" vertical="center" wrapText="1"/>
    </xf>
    <xf numFmtId="0" fontId="72" fillId="24" borderId="46" xfId="0" applyFont="1" applyFill="1" applyBorder="1" applyAlignment="1">
      <alignment horizontal="center" vertical="center" wrapText="1"/>
    </xf>
    <xf numFmtId="0" fontId="72" fillId="24" borderId="13" xfId="0" applyFont="1" applyFill="1" applyBorder="1" applyAlignment="1">
      <alignment horizontal="center" vertical="center" wrapText="1"/>
    </xf>
    <xf numFmtId="0" fontId="72" fillId="24" borderId="16" xfId="0" applyFont="1" applyFill="1" applyBorder="1" applyAlignment="1">
      <alignment horizontal="center" vertical="center" wrapText="1"/>
    </xf>
    <xf numFmtId="0" fontId="72" fillId="24" borderId="47" xfId="0" applyFont="1" applyFill="1" applyBorder="1" applyAlignment="1">
      <alignment horizontal="center" vertical="center" wrapText="1"/>
    </xf>
    <xf numFmtId="172" fontId="25" fillId="0" borderId="17" xfId="0" applyNumberFormat="1" applyFont="1" applyFill="1" applyBorder="1" applyAlignment="1">
      <alignment horizontal="left"/>
    </xf>
    <xf numFmtId="0" fontId="25" fillId="0" borderId="12" xfId="0" applyFont="1" applyFill="1" applyBorder="1" applyAlignment="1">
      <alignment horizontal="left"/>
    </xf>
    <xf numFmtId="0" fontId="25" fillId="0" borderId="11" xfId="0" applyFont="1" applyFill="1" applyBorder="1" applyAlignment="1">
      <alignment horizontal="left"/>
    </xf>
    <xf numFmtId="0" fontId="75" fillId="25" borderId="17" xfId="0" applyFont="1" applyFill="1" applyBorder="1" applyAlignment="1">
      <alignment vertical="center" wrapText="1"/>
    </xf>
    <xf numFmtId="0" fontId="75" fillId="25" borderId="12" xfId="0" applyFont="1" applyFill="1" applyBorder="1" applyAlignment="1">
      <alignment vertical="center" wrapText="1"/>
    </xf>
    <xf numFmtId="0" fontId="75" fillId="25" borderId="11" xfId="0" applyFont="1" applyFill="1" applyBorder="1" applyAlignment="1">
      <alignment vertical="center" wrapText="1"/>
    </xf>
    <xf numFmtId="0" fontId="75" fillId="25" borderId="35" xfId="0" applyFont="1" applyFill="1" applyBorder="1" applyAlignment="1">
      <alignment vertical="center" wrapText="1"/>
    </xf>
    <xf numFmtId="0" fontId="75" fillId="25" borderId="31" xfId="0" applyFont="1" applyFill="1" applyBorder="1" applyAlignment="1">
      <alignment vertical="center" wrapText="1"/>
    </xf>
    <xf numFmtId="0" fontId="28" fillId="27" borderId="32" xfId="0" applyFont="1" applyFill="1" applyBorder="1" applyAlignment="1">
      <alignment horizontal="right" vertical="center" wrapText="1"/>
    </xf>
    <xf numFmtId="0" fontId="75" fillId="25" borderId="30" xfId="0" applyFont="1" applyFill="1" applyBorder="1" applyAlignment="1">
      <alignment vertical="center" wrapText="1"/>
    </xf>
    <xf numFmtId="173" fontId="25" fillId="0" borderId="17" xfId="0" applyNumberFormat="1" applyFont="1" applyBorder="1" applyAlignment="1"/>
    <xf numFmtId="9" fontId="25" fillId="0" borderId="17" xfId="0" applyNumberFormat="1" applyFont="1" applyBorder="1" applyAlignment="1">
      <alignment wrapText="1"/>
    </xf>
    <xf numFmtId="0" fontId="69" fillId="27" borderId="17" xfId="0" applyFont="1" applyFill="1" applyBorder="1" applyAlignment="1">
      <alignment horizontal="right" vertical="center" wrapText="1"/>
    </xf>
    <xf numFmtId="0" fontId="69" fillId="27" borderId="12" xfId="0" applyFont="1" applyFill="1" applyBorder="1" applyAlignment="1">
      <alignment horizontal="right" vertical="center" wrapText="1"/>
    </xf>
    <xf numFmtId="0" fontId="69" fillId="27" borderId="24" xfId="0" applyFont="1" applyFill="1" applyBorder="1" applyAlignment="1">
      <alignment horizontal="right" vertical="center" wrapText="1"/>
    </xf>
    <xf numFmtId="0" fontId="102" fillId="25" borderId="17" xfId="0" applyFont="1" applyFill="1" applyBorder="1" applyAlignment="1">
      <alignment vertical="center" wrapText="1"/>
    </xf>
    <xf numFmtId="0" fontId="102" fillId="25" borderId="12" xfId="0" applyFont="1" applyFill="1" applyBorder="1" applyAlignment="1">
      <alignment vertical="center" wrapText="1"/>
    </xf>
    <xf numFmtId="0" fontId="102" fillId="25" borderId="11" xfId="0" applyFont="1" applyFill="1" applyBorder="1" applyAlignment="1">
      <alignment vertical="center" wrapText="1"/>
    </xf>
    <xf numFmtId="0" fontId="100" fillId="25" borderId="17" xfId="0" applyFont="1" applyFill="1" applyBorder="1" applyAlignment="1">
      <alignment vertical="center" wrapText="1"/>
    </xf>
    <xf numFmtId="0" fontId="100" fillId="25" borderId="12" xfId="0" applyFont="1" applyFill="1" applyBorder="1" applyAlignment="1">
      <alignment vertical="center" wrapText="1"/>
    </xf>
    <xf numFmtId="0" fontId="100" fillId="25" borderId="11" xfId="0" applyFont="1" applyFill="1" applyBorder="1" applyAlignment="1">
      <alignment vertical="center" wrapText="1"/>
    </xf>
    <xf numFmtId="0" fontId="100" fillId="27" borderId="17" xfId="0" applyFont="1" applyFill="1" applyBorder="1" applyAlignment="1">
      <alignment horizontal="right" vertical="center" wrapText="1"/>
    </xf>
    <xf numFmtId="0" fontId="100" fillId="27" borderId="12" xfId="0" applyFont="1" applyFill="1" applyBorder="1" applyAlignment="1">
      <alignment horizontal="right" vertical="center" wrapText="1"/>
    </xf>
    <xf numFmtId="0" fontId="100" fillId="27" borderId="11" xfId="0" applyFont="1" applyFill="1" applyBorder="1" applyAlignment="1">
      <alignment horizontal="right" vertical="center" wrapText="1"/>
    </xf>
    <xf numFmtId="0" fontId="103" fillId="25" borderId="17" xfId="0" applyFont="1" applyFill="1" applyBorder="1" applyAlignment="1">
      <alignment vertical="center" wrapText="1"/>
    </xf>
    <xf numFmtId="0" fontId="103" fillId="25" borderId="12" xfId="0" applyFont="1" applyFill="1" applyBorder="1" applyAlignment="1">
      <alignment vertical="center" wrapText="1"/>
    </xf>
    <xf numFmtId="0" fontId="103" fillId="25" borderId="11" xfId="0" applyFont="1" applyFill="1" applyBorder="1" applyAlignment="1">
      <alignment vertical="center" wrapText="1"/>
    </xf>
    <xf numFmtId="0" fontId="97" fillId="0" borderId="17" xfId="0" applyFont="1" applyBorder="1" applyAlignment="1">
      <alignment horizontal="right" wrapText="1"/>
    </xf>
    <xf numFmtId="0" fontId="97" fillId="0" borderId="12" xfId="0" applyFont="1" applyBorder="1" applyAlignment="1">
      <alignment horizontal="right" wrapText="1"/>
    </xf>
    <xf numFmtId="0" fontId="97" fillId="0" borderId="11" xfId="0" applyFont="1" applyBorder="1" applyAlignment="1">
      <alignment horizontal="right" wrapText="1"/>
    </xf>
    <xf numFmtId="0" fontId="50" fillId="25" borderId="22" xfId="0" applyFont="1" applyFill="1" applyBorder="1" applyAlignment="1">
      <alignment vertical="center" wrapText="1"/>
    </xf>
    <xf numFmtId="0" fontId="50" fillId="25" borderId="23" xfId="0" applyFont="1" applyFill="1" applyBorder="1" applyAlignment="1">
      <alignment vertical="center" wrapText="1"/>
    </xf>
    <xf numFmtId="0" fontId="50" fillId="25" borderId="26" xfId="0" applyFont="1" applyFill="1" applyBorder="1" applyAlignment="1">
      <alignment vertical="center" wrapText="1"/>
    </xf>
    <xf numFmtId="0" fontId="100" fillId="27" borderId="24" xfId="0" applyFont="1" applyFill="1" applyBorder="1" applyAlignment="1">
      <alignment horizontal="right" vertical="center" wrapText="1"/>
    </xf>
    <xf numFmtId="0" fontId="50" fillId="25" borderId="17" xfId="0" applyFont="1" applyFill="1" applyBorder="1" applyAlignment="1">
      <alignment vertical="center" wrapText="1"/>
    </xf>
    <xf numFmtId="0" fontId="50" fillId="25" borderId="12" xfId="0" applyFont="1" applyFill="1" applyBorder="1" applyAlignment="1">
      <alignment vertical="center" wrapText="1"/>
    </xf>
    <xf numFmtId="0" fontId="50" fillId="25" borderId="11" xfId="0" applyFont="1" applyFill="1" applyBorder="1" applyAlignment="1">
      <alignment vertical="center" wrapText="1"/>
    </xf>
    <xf numFmtId="0" fontId="48" fillId="0" borderId="17" xfId="0" applyFont="1" applyBorder="1" applyAlignment="1"/>
    <xf numFmtId="0" fontId="48" fillId="0" borderId="12" xfId="0" applyFont="1" applyBorder="1" applyAlignment="1"/>
    <xf numFmtId="0" fontId="48" fillId="0" borderId="11" xfId="0" applyFont="1" applyBorder="1" applyAlignment="1"/>
    <xf numFmtId="0" fontId="48" fillId="0" borderId="17" xfId="0" applyFont="1" applyBorder="1" applyAlignment="1">
      <alignment wrapText="1"/>
    </xf>
    <xf numFmtId="0" fontId="48" fillId="0" borderId="12" xfId="0" applyFont="1" applyBorder="1" applyAlignment="1">
      <alignment wrapText="1"/>
    </xf>
    <xf numFmtId="0" fontId="48" fillId="0" borderId="11" xfId="0" applyFont="1" applyBorder="1" applyAlignment="1">
      <alignment wrapText="1"/>
    </xf>
    <xf numFmtId="173" fontId="97" fillId="0" borderId="17" xfId="0" applyNumberFormat="1" applyFont="1" applyBorder="1" applyAlignment="1"/>
    <xf numFmtId="173" fontId="97" fillId="0" borderId="12" xfId="0" applyNumberFormat="1" applyFont="1" applyBorder="1" applyAlignment="1"/>
    <xf numFmtId="173" fontId="97" fillId="0" borderId="11" xfId="0" applyNumberFormat="1" applyFont="1" applyBorder="1" applyAlignment="1"/>
    <xf numFmtId="9" fontId="97" fillId="0" borderId="17" xfId="0" applyNumberFormat="1" applyFont="1" applyBorder="1" applyAlignment="1">
      <alignment wrapText="1"/>
    </xf>
    <xf numFmtId="9" fontId="97" fillId="0" borderId="12" xfId="0" applyNumberFormat="1" applyFont="1" applyBorder="1" applyAlignment="1">
      <alignment wrapText="1"/>
    </xf>
    <xf numFmtId="9" fontId="97" fillId="0" borderId="11" xfId="0" applyNumberFormat="1" applyFont="1" applyBorder="1" applyAlignment="1">
      <alignment wrapText="1"/>
    </xf>
    <xf numFmtId="0" fontId="104" fillId="25" borderId="10" xfId="0" applyFont="1" applyFill="1" applyBorder="1" applyAlignment="1">
      <alignment horizontal="right" vertical="center" wrapText="1"/>
    </xf>
    <xf numFmtId="0" fontId="104" fillId="25" borderId="17" xfId="0" applyFont="1" applyFill="1" applyBorder="1" applyAlignment="1">
      <alignment horizontal="right" vertical="center" wrapText="1"/>
    </xf>
    <xf numFmtId="0" fontId="104" fillId="25" borderId="12" xfId="0" applyFont="1" applyFill="1" applyBorder="1" applyAlignment="1">
      <alignment horizontal="right" vertical="center" wrapText="1"/>
    </xf>
    <xf numFmtId="0" fontId="104" fillId="25" borderId="11" xfId="0" applyFont="1" applyFill="1" applyBorder="1" applyAlignment="1">
      <alignment horizontal="right" vertical="center" wrapText="1"/>
    </xf>
    <xf numFmtId="0" fontId="105" fillId="24" borderId="17" xfId="0" applyFont="1" applyFill="1" applyBorder="1" applyAlignment="1">
      <alignment horizontal="center" vertical="center" wrapText="1"/>
    </xf>
    <xf numFmtId="0" fontId="105" fillId="24" borderId="12" xfId="0" applyFont="1" applyFill="1" applyBorder="1" applyAlignment="1">
      <alignment horizontal="center" vertical="center" wrapText="1"/>
    </xf>
    <xf numFmtId="0" fontId="105" fillId="24" borderId="11" xfId="0" applyFont="1" applyFill="1" applyBorder="1" applyAlignment="1">
      <alignment horizontal="center" vertical="center" wrapText="1"/>
    </xf>
    <xf numFmtId="0" fontId="105" fillId="24" borderId="17" xfId="0" applyFont="1" applyFill="1" applyBorder="1" applyAlignment="1">
      <alignment horizontal="right" vertical="center" wrapText="1"/>
    </xf>
    <xf numFmtId="0" fontId="105" fillId="24" borderId="12" xfId="0" applyFont="1" applyFill="1" applyBorder="1" applyAlignment="1">
      <alignment horizontal="right" vertical="center" wrapText="1"/>
    </xf>
    <xf numFmtId="0" fontId="105" fillId="24" borderId="24" xfId="0" applyFont="1" applyFill="1" applyBorder="1" applyAlignment="1">
      <alignment horizontal="right" vertical="center" wrapText="1"/>
    </xf>
    <xf numFmtId="0" fontId="30" fillId="30" borderId="12" xfId="0" applyFont="1" applyFill="1" applyBorder="1" applyAlignment="1">
      <alignment horizontal="right" vertical="center" wrapText="1"/>
    </xf>
    <xf numFmtId="0" fontId="30" fillId="30" borderId="11" xfId="0" applyFont="1" applyFill="1" applyBorder="1" applyAlignment="1">
      <alignment horizontal="right" vertical="center" wrapText="1"/>
    </xf>
    <xf numFmtId="0" fontId="77" fillId="29" borderId="17" xfId="0" applyFont="1" applyFill="1" applyBorder="1" applyAlignment="1">
      <alignment vertical="center" wrapText="1"/>
    </xf>
    <xf numFmtId="0" fontId="77" fillId="29" borderId="12" xfId="0" applyFont="1" applyFill="1" applyBorder="1" applyAlignment="1">
      <alignment vertical="center" wrapText="1"/>
    </xf>
    <xf numFmtId="0" fontId="77" fillId="29" borderId="11" xfId="0" applyFont="1" applyFill="1" applyBorder="1" applyAlignment="1">
      <alignment vertical="center" wrapText="1"/>
    </xf>
    <xf numFmtId="171" fontId="25" fillId="0" borderId="17" xfId="0" applyNumberFormat="1" applyFont="1" applyBorder="1" applyAlignment="1"/>
    <xf numFmtId="4" fontId="30" fillId="30" borderId="12" xfId="0" applyNumberFormat="1" applyFont="1" applyFill="1" applyBorder="1" applyAlignment="1">
      <alignment horizontal="right" vertical="center" wrapText="1"/>
    </xf>
    <xf numFmtId="0" fontId="0" fillId="0" borderId="12" xfId="0" applyBorder="1" applyAlignment="1">
      <alignment vertical="center" wrapText="1"/>
    </xf>
    <xf numFmtId="0" fontId="0" fillId="0" borderId="11" xfId="0" applyBorder="1" applyAlignment="1">
      <alignment vertical="center" wrapText="1"/>
    </xf>
    <xf numFmtId="0" fontId="25" fillId="0" borderId="17" xfId="0" applyFont="1" applyBorder="1" applyAlignment="1">
      <alignment vertical="center" wrapText="1"/>
    </xf>
    <xf numFmtId="0" fontId="25" fillId="0" borderId="12" xfId="0" applyFont="1" applyBorder="1" applyAlignment="1">
      <alignment vertical="center" wrapText="1"/>
    </xf>
    <xf numFmtId="0" fontId="25" fillId="0" borderId="11" xfId="0" applyFont="1" applyBorder="1" applyAlignment="1">
      <alignment vertical="center" wrapText="1"/>
    </xf>
    <xf numFmtId="0" fontId="24" fillId="0" borderId="17" xfId="0" applyFont="1" applyBorder="1" applyAlignment="1">
      <alignment vertical="center"/>
    </xf>
    <xf numFmtId="0" fontId="24" fillId="0" borderId="12" xfId="0" applyFont="1" applyBorder="1" applyAlignment="1">
      <alignment vertical="center"/>
    </xf>
    <xf numFmtId="0" fontId="24" fillId="0" borderId="11" xfId="0" applyFont="1" applyBorder="1" applyAlignment="1">
      <alignment vertical="center"/>
    </xf>
    <xf numFmtId="171" fontId="25" fillId="0" borderId="17" xfId="0" applyNumberFormat="1" applyFont="1" applyBorder="1" applyAlignment="1">
      <alignment vertical="center"/>
    </xf>
    <xf numFmtId="0" fontId="25" fillId="0" borderId="12" xfId="0" applyFont="1" applyBorder="1" applyAlignment="1">
      <alignment vertical="center"/>
    </xf>
    <xf numFmtId="0" fontId="25" fillId="0" borderId="11" xfId="0" applyFont="1" applyBorder="1" applyAlignment="1">
      <alignment vertical="center"/>
    </xf>
    <xf numFmtId="9" fontId="25" fillId="0" borderId="17" xfId="0" applyNumberFormat="1" applyFont="1" applyBorder="1" applyAlignment="1">
      <alignment vertical="center" wrapText="1"/>
    </xf>
  </cellXfs>
  <cellStyles count="658">
    <cellStyle name="20% - Accent1 2" xfId="1"/>
    <cellStyle name="20% - Accent2 2" xfId="2"/>
    <cellStyle name="20% - Accent3 2" xfId="3"/>
    <cellStyle name="20% - Accent4 2" xfId="4"/>
    <cellStyle name="20% - Accent5 2" xfId="5"/>
    <cellStyle name="20% - Accent6 2" xfId="6"/>
    <cellStyle name="20% - Accent6 3"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656" builtinId="3"/>
    <cellStyle name="Comma 2" xfId="29"/>
    <cellStyle name="Comma 2 2" xfId="30"/>
    <cellStyle name="Comma 2_assumptions" xfId="31"/>
    <cellStyle name="Comma 3" xfId="32"/>
    <cellStyle name="Comma 3 2" xfId="33"/>
    <cellStyle name="Comma 4" xfId="34"/>
    <cellStyle name="Comma 5" xfId="35"/>
    <cellStyle name="Comma 6" xfId="36"/>
    <cellStyle name="Euro" xfId="37"/>
    <cellStyle name="Explanatory Text 2" xfId="38"/>
    <cellStyle name="Good 2" xfId="39"/>
    <cellStyle name="Heading 1 2" xfId="40"/>
    <cellStyle name="Heading 2 2" xfId="41"/>
    <cellStyle name="Heading 3 2" xfId="42"/>
    <cellStyle name="Heading 4 2" xfId="43"/>
    <cellStyle name="Input 2" xfId="44"/>
    <cellStyle name="Input 3" xfId="45"/>
    <cellStyle name="Linked Cell 2" xfId="46"/>
    <cellStyle name="Millares [0] 2" xfId="47"/>
    <cellStyle name="Millares 2" xfId="48"/>
    <cellStyle name="Millares 2 2" xfId="49"/>
    <cellStyle name="Millares 2 3" xfId="50"/>
    <cellStyle name="Millares 2 3 2" xfId="51"/>
    <cellStyle name="Millares 2 3 2 2" xfId="52"/>
    <cellStyle name="Millares 2 3 3" xfId="53"/>
    <cellStyle name="Millares 2 3 4" xfId="54"/>
    <cellStyle name="Millares 20 2" xfId="55"/>
    <cellStyle name="Millares 25" xfId="56"/>
    <cellStyle name="Millares 3" xfId="57"/>
    <cellStyle name="Millares 3 2" xfId="58"/>
    <cellStyle name="Millares 4" xfId="59"/>
    <cellStyle name="Millares 5" xfId="60"/>
    <cellStyle name="Millares 6" xfId="61"/>
    <cellStyle name="Millares 6 2" xfId="62"/>
    <cellStyle name="Millares 6 2 2" xfId="63"/>
    <cellStyle name="Millares 6 3" xfId="64"/>
    <cellStyle name="Millares 6 4" xfId="65"/>
    <cellStyle name="Millares 7" xfId="66"/>
    <cellStyle name="Millares 8" xfId="67"/>
    <cellStyle name="Milliers_Bud06  HO-items etc in applications" xfId="68"/>
    <cellStyle name="Moneda 2" xfId="69"/>
    <cellStyle name="Moneda 2 2" xfId="70"/>
    <cellStyle name="Moneda 3" xfId="71"/>
    <cellStyle name="Moneda 9" xfId="72"/>
    <cellStyle name="Neutral 2" xfId="73"/>
    <cellStyle name="Normal" xfId="0" builtinId="0"/>
    <cellStyle name="Normal 10" xfId="74"/>
    <cellStyle name="Normal 10 2" xfId="75"/>
    <cellStyle name="Normal 10 2 2" xfId="76"/>
    <cellStyle name="Normal 10 3" xfId="77"/>
    <cellStyle name="Normal 10 4" xfId="78"/>
    <cellStyle name="Normal 11" xfId="79"/>
    <cellStyle name="Normal 12" xfId="80"/>
    <cellStyle name="Normal 12 2" xfId="81"/>
    <cellStyle name="Normal 13" xfId="82"/>
    <cellStyle name="Normal 13 2" xfId="83"/>
    <cellStyle name="Normal 13 3" xfId="84"/>
    <cellStyle name="Normal 14" xfId="85"/>
    <cellStyle name="Normal 2" xfId="86"/>
    <cellStyle name="Normal 2 10" xfId="87"/>
    <cellStyle name="Normal 2 10 2" xfId="88"/>
    <cellStyle name="Normal 2 10 2 2" xfId="89"/>
    <cellStyle name="Normal 2 10 3" xfId="90"/>
    <cellStyle name="Normal 2 10 4" xfId="91"/>
    <cellStyle name="Normal 2 11" xfId="92"/>
    <cellStyle name="Normal 2 11 2" xfId="93"/>
    <cellStyle name="Normal 2 12" xfId="94"/>
    <cellStyle name="Normal 2 13" xfId="95"/>
    <cellStyle name="Normal 2 2" xfId="96"/>
    <cellStyle name="Normal 2 2 2" xfId="97"/>
    <cellStyle name="Normal 2 2 2 2" xfId="98"/>
    <cellStyle name="Normal 2 2 2 2 2" xfId="99"/>
    <cellStyle name="Normal 2 2 2 2 2 2" xfId="100"/>
    <cellStyle name="Normal 2 2 2 2 2 2 2" xfId="101"/>
    <cellStyle name="Normal 2 2 2 2 2 3" xfId="102"/>
    <cellStyle name="Normal 2 2 2 2 2 4" xfId="103"/>
    <cellStyle name="Normal 2 2 2 2 3" xfId="104"/>
    <cellStyle name="Normal 2 2 2 2 3 2" xfId="105"/>
    <cellStyle name="Normal 2 2 2 2 4" xfId="106"/>
    <cellStyle name="Normal 2 2 2 2 5" xfId="107"/>
    <cellStyle name="Normal 2 2 2 3" xfId="108"/>
    <cellStyle name="Normal 2 2 2 3 2" xfId="109"/>
    <cellStyle name="Normal 2 2 2 3 2 2" xfId="110"/>
    <cellStyle name="Normal 2 2 2 3 2 2 2" xfId="111"/>
    <cellStyle name="Normal 2 2 2 3 2 3" xfId="112"/>
    <cellStyle name="Normal 2 2 2 3 2 4" xfId="113"/>
    <cellStyle name="Normal 2 2 2 3 3" xfId="114"/>
    <cellStyle name="Normal 2 2 2 3 3 2" xfId="115"/>
    <cellStyle name="Normal 2 2 2 3 4" xfId="116"/>
    <cellStyle name="Normal 2 2 2 3 5" xfId="117"/>
    <cellStyle name="Normal 2 2 2 4" xfId="118"/>
    <cellStyle name="Normal 2 2 2 5" xfId="119"/>
    <cellStyle name="Normal 2 2 2 5 2" xfId="120"/>
    <cellStyle name="Normal 2 2 2 5 2 2" xfId="121"/>
    <cellStyle name="Normal 2 2 2 5 3" xfId="122"/>
    <cellStyle name="Normal 2 2 2 5 4" xfId="123"/>
    <cellStyle name="Normal 2 2 2 6" xfId="124"/>
    <cellStyle name="Normal 2 2 2 6 2" xfId="125"/>
    <cellStyle name="Normal 2 2 2 7" xfId="126"/>
    <cellStyle name="Normal 2 2 2 8" xfId="127"/>
    <cellStyle name="Normal 2 2 3" xfId="128"/>
    <cellStyle name="Normal 2 2 3 2" xfId="129"/>
    <cellStyle name="Normal 2 2 3 2 2" xfId="130"/>
    <cellStyle name="Normal 2 2 3 2 2 2" xfId="131"/>
    <cellStyle name="Normal 2 2 3 2 3" xfId="132"/>
    <cellStyle name="Normal 2 2 3 2 4" xfId="133"/>
    <cellStyle name="Normal 2 2 3 3" xfId="134"/>
    <cellStyle name="Normal 2 2 3 3 2" xfId="135"/>
    <cellStyle name="Normal 2 2 3 4" xfId="136"/>
    <cellStyle name="Normal 2 2 3 5" xfId="137"/>
    <cellStyle name="Normal 2 2 4" xfId="138"/>
    <cellStyle name="Normal 2 2 4 2" xfId="139"/>
    <cellStyle name="Normal 2 2 4 2 2" xfId="140"/>
    <cellStyle name="Normal 2 2 4 2 2 2" xfId="141"/>
    <cellStyle name="Normal 2 2 4 2 3" xfId="142"/>
    <cellStyle name="Normal 2 2 4 2 4" xfId="143"/>
    <cellStyle name="Normal 2 2 4 3" xfId="144"/>
    <cellStyle name="Normal 2 2 4 3 2" xfId="145"/>
    <cellStyle name="Normal 2 2 4 4" xfId="146"/>
    <cellStyle name="Normal 2 2 4 5" xfId="147"/>
    <cellStyle name="Normal 2 2 5" xfId="148"/>
    <cellStyle name="Normal 2 2 6" xfId="149"/>
    <cellStyle name="Normal 2 2 6 2" xfId="150"/>
    <cellStyle name="Normal 2 2 6 2 2" xfId="151"/>
    <cellStyle name="Normal 2 2 6 3" xfId="152"/>
    <cellStyle name="Normal 2 2 6 4" xfId="153"/>
    <cellStyle name="Normal 2 2 7" xfId="154"/>
    <cellStyle name="Normal 2 2 7 2" xfId="155"/>
    <cellStyle name="Normal 2 2 8" xfId="156"/>
    <cellStyle name="Normal 2 2 9" xfId="157"/>
    <cellStyle name="Normal 2 2_assumptions" xfId="158"/>
    <cellStyle name="Normal 2 3" xfId="159"/>
    <cellStyle name="Normal 2 3 2" xfId="160"/>
    <cellStyle name="Normal 2 3 2 2" xfId="161"/>
    <cellStyle name="Normal 2 3 2 2 2" xfId="162"/>
    <cellStyle name="Normal 2 3 2 2 2 2" xfId="163"/>
    <cellStyle name="Normal 2 3 2 2 3" xfId="164"/>
    <cellStyle name="Normal 2 3 2 2 4" xfId="165"/>
    <cellStyle name="Normal 2 3 2 3" xfId="166"/>
    <cellStyle name="Normal 2 3 2 3 2" xfId="167"/>
    <cellStyle name="Normal 2 3 2 4" xfId="168"/>
    <cellStyle name="Normal 2 3 2 5" xfId="169"/>
    <cellStyle name="Normal 2 3 3" xfId="170"/>
    <cellStyle name="Normal 2 3 3 2" xfId="171"/>
    <cellStyle name="Normal 2 3 3 2 2" xfId="172"/>
    <cellStyle name="Normal 2 3 3 2 2 2" xfId="173"/>
    <cellStyle name="Normal 2 3 3 2 3" xfId="174"/>
    <cellStyle name="Normal 2 3 3 2 4" xfId="175"/>
    <cellStyle name="Normal 2 3 3 3" xfId="176"/>
    <cellStyle name="Normal 2 3 3 3 2" xfId="177"/>
    <cellStyle name="Normal 2 3 3 4" xfId="178"/>
    <cellStyle name="Normal 2 3 3 5" xfId="179"/>
    <cellStyle name="Normal 2 3 4" xfId="180"/>
    <cellStyle name="Normal 2 3 4 2" xfId="181"/>
    <cellStyle name="Normal 2 3 4 2 2" xfId="182"/>
    <cellStyle name="Normal 2 3 4 3" xfId="183"/>
    <cellStyle name="Normal 2 3 4 4" xfId="184"/>
    <cellStyle name="Normal 2 3 5" xfId="185"/>
    <cellStyle name="Normal 2 3 5 2" xfId="186"/>
    <cellStyle name="Normal 2 3 5 2 2" xfId="187"/>
    <cellStyle name="Normal 2 3 5 3" xfId="188"/>
    <cellStyle name="Normal 2 3 5 4" xfId="189"/>
    <cellStyle name="Normal 2 3 6" xfId="190"/>
    <cellStyle name="Normal 2 3 6 2" xfId="191"/>
    <cellStyle name="Normal 2 3 7" xfId="192"/>
    <cellStyle name="Normal 2 3 8" xfId="193"/>
    <cellStyle name="Normal 2 4" xfId="194"/>
    <cellStyle name="Normal 2 4 2" xfId="195"/>
    <cellStyle name="Normal 2 4 2 2" xfId="196"/>
    <cellStyle name="Normal 2 4 2 2 2" xfId="197"/>
    <cellStyle name="Normal 2 4 2 2 2 2" xfId="198"/>
    <cellStyle name="Normal 2 4 2 2 3" xfId="199"/>
    <cellStyle name="Normal 2 4 2 2 4" xfId="200"/>
    <cellStyle name="Normal 2 4 2 3" xfId="201"/>
    <cellStyle name="Normal 2 4 2 3 2" xfId="202"/>
    <cellStyle name="Normal 2 4 2 4" xfId="203"/>
    <cellStyle name="Normal 2 4 2 5" xfId="204"/>
    <cellStyle name="Normal 2 4 3" xfId="205"/>
    <cellStyle name="Normal 2 4 3 2" xfId="206"/>
    <cellStyle name="Normal 2 4 3 2 2" xfId="207"/>
    <cellStyle name="Normal 2 4 3 2 2 2" xfId="208"/>
    <cellStyle name="Normal 2 4 3 2 3" xfId="209"/>
    <cellStyle name="Normal 2 4 3 2 4" xfId="210"/>
    <cellStyle name="Normal 2 4 3 3" xfId="211"/>
    <cellStyle name="Normal 2 4 3 3 2" xfId="212"/>
    <cellStyle name="Normal 2 4 3 4" xfId="213"/>
    <cellStyle name="Normal 2 4 3 5" xfId="214"/>
    <cellStyle name="Normal 2 4 4" xfId="215"/>
    <cellStyle name="Normal 2 4 5" xfId="216"/>
    <cellStyle name="Normal 2 4 5 2" xfId="217"/>
    <cellStyle name="Normal 2 4 5 2 2" xfId="218"/>
    <cellStyle name="Normal 2 4 5 3" xfId="219"/>
    <cellStyle name="Normal 2 4 5 4" xfId="220"/>
    <cellStyle name="Normal 2 4 6" xfId="221"/>
    <cellStyle name="Normal 2 4 6 2" xfId="222"/>
    <cellStyle name="Normal 2 4 7" xfId="223"/>
    <cellStyle name="Normal 2 4 8" xfId="224"/>
    <cellStyle name="Normal 2 5" xfId="225"/>
    <cellStyle name="Normal 2 5 2" xfId="226"/>
    <cellStyle name="Normal 2 5 2 2" xfId="227"/>
    <cellStyle name="Normal 2 5 2 2 2" xfId="228"/>
    <cellStyle name="Normal 2 5 2 2 2 2" xfId="229"/>
    <cellStyle name="Normal 2 5 2 2 3" xfId="230"/>
    <cellStyle name="Normal 2 5 2 2 4" xfId="231"/>
    <cellStyle name="Normal 2 5 2 3" xfId="232"/>
    <cellStyle name="Normal 2 5 2 3 2" xfId="233"/>
    <cellStyle name="Normal 2 5 2 4" xfId="234"/>
    <cellStyle name="Normal 2 5 2 5" xfId="235"/>
    <cellStyle name="Normal 2 5 3" xfId="236"/>
    <cellStyle name="Normal 2 5 3 2" xfId="237"/>
    <cellStyle name="Normal 2 5 3 2 2" xfId="238"/>
    <cellStyle name="Normal 2 5 3 2 2 2" xfId="239"/>
    <cellStyle name="Normal 2 5 3 2 3" xfId="240"/>
    <cellStyle name="Normal 2 5 3 2 4" xfId="241"/>
    <cellStyle name="Normal 2 5 3 3" xfId="242"/>
    <cellStyle name="Normal 2 5 3 3 2" xfId="243"/>
    <cellStyle name="Normal 2 5 3 4" xfId="244"/>
    <cellStyle name="Normal 2 5 3 5" xfId="245"/>
    <cellStyle name="Normal 2 5 4" xfId="246"/>
    <cellStyle name="Normal 2 5 5" xfId="247"/>
    <cellStyle name="Normal 2 5 5 2" xfId="248"/>
    <cellStyle name="Normal 2 5 5 2 2" xfId="249"/>
    <cellStyle name="Normal 2 5 5 3" xfId="250"/>
    <cellStyle name="Normal 2 5 5 4" xfId="251"/>
    <cellStyle name="Normal 2 5 6" xfId="252"/>
    <cellStyle name="Normal 2 5 6 2" xfId="253"/>
    <cellStyle name="Normal 2 5 7" xfId="254"/>
    <cellStyle name="Normal 2 5 8" xfId="255"/>
    <cellStyle name="Normal 2 6" xfId="256"/>
    <cellStyle name="Normal 2 6 2" xfId="257"/>
    <cellStyle name="Normal 2 6 2 2" xfId="258"/>
    <cellStyle name="Normal 2 6 2 2 2" xfId="259"/>
    <cellStyle name="Normal 2 6 2 2 2 2" xfId="260"/>
    <cellStyle name="Normal 2 6 2 2 3" xfId="261"/>
    <cellStyle name="Normal 2 6 2 2 4" xfId="262"/>
    <cellStyle name="Normal 2 6 2 3" xfId="263"/>
    <cellStyle name="Normal 2 6 2 3 2" xfId="264"/>
    <cellStyle name="Normal 2 6 2 4" xfId="265"/>
    <cellStyle name="Normal 2 6 2 5" xfId="266"/>
    <cellStyle name="Normal 2 6 3" xfId="267"/>
    <cellStyle name="Normal 2 6 3 2" xfId="268"/>
    <cellStyle name="Normal 2 6 3 2 2" xfId="269"/>
    <cellStyle name="Normal 2 6 3 2 2 2" xfId="270"/>
    <cellStyle name="Normal 2 6 3 2 3" xfId="271"/>
    <cellStyle name="Normal 2 6 3 2 4" xfId="272"/>
    <cellStyle name="Normal 2 6 3 3" xfId="273"/>
    <cellStyle name="Normal 2 6 3 3 2" xfId="274"/>
    <cellStyle name="Normal 2 6 3 4" xfId="275"/>
    <cellStyle name="Normal 2 6 3 5" xfId="276"/>
    <cellStyle name="Normal 2 6 4" xfId="277"/>
    <cellStyle name="Normal 2 6 5" xfId="278"/>
    <cellStyle name="Normal 2 6 5 2" xfId="279"/>
    <cellStyle name="Normal 2 6 5 2 2" xfId="280"/>
    <cellStyle name="Normal 2 6 5 3" xfId="281"/>
    <cellStyle name="Normal 2 6 5 4" xfId="282"/>
    <cellStyle name="Normal 2 6 6" xfId="283"/>
    <cellStyle name="Normal 2 6 6 2" xfId="284"/>
    <cellStyle name="Normal 2 6 7" xfId="285"/>
    <cellStyle name="Normal 2 6 8" xfId="286"/>
    <cellStyle name="Normal 2 7" xfId="287"/>
    <cellStyle name="Normal 2 7 2" xfId="288"/>
    <cellStyle name="Normal 2 7 2 2" xfId="289"/>
    <cellStyle name="Normal 2 7 2 2 2" xfId="290"/>
    <cellStyle name="Normal 2 7 2 3" xfId="291"/>
    <cellStyle name="Normal 2 7 2 4" xfId="292"/>
    <cellStyle name="Normal 2 7 3" xfId="293"/>
    <cellStyle name="Normal 2 7 3 2" xfId="294"/>
    <cellStyle name="Normal 2 7 3 2 2" xfId="295"/>
    <cellStyle name="Normal 2 7 3 3" xfId="296"/>
    <cellStyle name="Normal 2 7 3 4" xfId="297"/>
    <cellStyle name="Normal 2 7 4" xfId="298"/>
    <cellStyle name="Normal 2 7 4 2" xfId="299"/>
    <cellStyle name="Normal 2 7 4 2 2" xfId="300"/>
    <cellStyle name="Normal 2 7 4 3" xfId="301"/>
    <cellStyle name="Normal 2 7 4 4" xfId="302"/>
    <cellStyle name="Normal 2 7 5" xfId="303"/>
    <cellStyle name="Normal 2 7 5 2" xfId="304"/>
    <cellStyle name="Normal 2 7 6" xfId="305"/>
    <cellStyle name="Normal 2 7 7" xfId="306"/>
    <cellStyle name="Normal 2 8" xfId="307"/>
    <cellStyle name="Normal 2 8 2" xfId="308"/>
    <cellStyle name="Normal 2 8 2 2" xfId="309"/>
    <cellStyle name="Normal 2 8 2 2 2" xfId="310"/>
    <cellStyle name="Normal 2 8 2 3" xfId="311"/>
    <cellStyle name="Normal 2 8 2 4" xfId="312"/>
    <cellStyle name="Normal 2 8 3" xfId="313"/>
    <cellStyle name="Normal 2 8 3 2" xfId="314"/>
    <cellStyle name="Normal 2 8 4" xfId="315"/>
    <cellStyle name="Normal 2 8 5" xfId="316"/>
    <cellStyle name="Normal 2 9" xfId="317"/>
    <cellStyle name="Normal 2_02. CO SALARY SUPPORT" xfId="318"/>
    <cellStyle name="Normal 3" xfId="319"/>
    <cellStyle name="Normal 3 2" xfId="320"/>
    <cellStyle name="Normal 3 2 2" xfId="321"/>
    <cellStyle name="Normal 3 2 2 2" xfId="322"/>
    <cellStyle name="Normal 3 2 2 2 2" xfId="323"/>
    <cellStyle name="Normal 3 2 2 3" xfId="324"/>
    <cellStyle name="Normal 3 2 2 4" xfId="325"/>
    <cellStyle name="Normal 3 2 3" xfId="326"/>
    <cellStyle name="Normal 3 2 3 2" xfId="327"/>
    <cellStyle name="Normal 3 2 4" xfId="328"/>
    <cellStyle name="Normal 3 2 5" xfId="329"/>
    <cellStyle name="Normal 3 3" xfId="330"/>
    <cellStyle name="Normal 3 4" xfId="331"/>
    <cellStyle name="Normal 3_assumptions" xfId="332"/>
    <cellStyle name="Normal 30" xfId="333"/>
    <cellStyle name="Normal 4" xfId="334"/>
    <cellStyle name="Normal 4 10" xfId="335"/>
    <cellStyle name="Normal 4 2" xfId="336"/>
    <cellStyle name="Normal 4 2 2" xfId="337"/>
    <cellStyle name="Normal 4 2 2 2" xfId="338"/>
    <cellStyle name="Normal 4 2 2 2 2" xfId="339"/>
    <cellStyle name="Normal 4 2 2 2 2 2" xfId="340"/>
    <cellStyle name="Normal 4 2 2 2 2 2 2" xfId="341"/>
    <cellStyle name="Normal 4 2 2 2 2 3" xfId="342"/>
    <cellStyle name="Normal 4 2 2 2 2 4" xfId="343"/>
    <cellStyle name="Normal 4 2 2 2 3" xfId="344"/>
    <cellStyle name="Normal 4 2 2 2 3 2" xfId="345"/>
    <cellStyle name="Normal 4 2 2 2 4" xfId="346"/>
    <cellStyle name="Normal 4 2 2 2 5" xfId="347"/>
    <cellStyle name="Normal 4 2 2 3" xfId="348"/>
    <cellStyle name="Normal 4 2 2 3 2" xfId="349"/>
    <cellStyle name="Normal 4 2 2 3 2 2" xfId="350"/>
    <cellStyle name="Normal 4 2 2 3 2 2 2" xfId="351"/>
    <cellStyle name="Normal 4 2 2 3 2 3" xfId="352"/>
    <cellStyle name="Normal 4 2 2 3 2 4" xfId="353"/>
    <cellStyle name="Normal 4 2 2 3 3" xfId="354"/>
    <cellStyle name="Normal 4 2 2 3 3 2" xfId="355"/>
    <cellStyle name="Normal 4 2 2 3 4" xfId="356"/>
    <cellStyle name="Normal 4 2 2 3 5" xfId="357"/>
    <cellStyle name="Normal 4 2 2 4" xfId="358"/>
    <cellStyle name="Normal 4 2 2 4 2" xfId="359"/>
    <cellStyle name="Normal 4 2 2 4 2 2" xfId="360"/>
    <cellStyle name="Normal 4 2 2 4 3" xfId="361"/>
    <cellStyle name="Normal 4 2 2 4 4" xfId="362"/>
    <cellStyle name="Normal 4 2 2 5" xfId="363"/>
    <cellStyle name="Normal 4 2 2 5 2" xfId="364"/>
    <cellStyle name="Normal 4 2 2 6" xfId="365"/>
    <cellStyle name="Normal 4 2 2 7" xfId="366"/>
    <cellStyle name="Normal 4 2 3" xfId="367"/>
    <cellStyle name="Normal 4 2 3 2" xfId="368"/>
    <cellStyle name="Normal 4 2 3 2 2" xfId="369"/>
    <cellStyle name="Normal 4 2 3 2 2 2" xfId="370"/>
    <cellStyle name="Normal 4 2 3 2 3" xfId="371"/>
    <cellStyle name="Normal 4 2 3 2 4" xfId="372"/>
    <cellStyle name="Normal 4 2 3 3" xfId="373"/>
    <cellStyle name="Normal 4 2 3 3 2" xfId="374"/>
    <cellStyle name="Normal 4 2 3 4" xfId="375"/>
    <cellStyle name="Normal 4 2 3 5" xfId="376"/>
    <cellStyle name="Normal 4 2 4" xfId="377"/>
    <cellStyle name="Normal 4 2 4 2" xfId="378"/>
    <cellStyle name="Normal 4 2 4 2 2" xfId="379"/>
    <cellStyle name="Normal 4 2 4 2 2 2" xfId="380"/>
    <cellStyle name="Normal 4 2 4 2 3" xfId="381"/>
    <cellStyle name="Normal 4 2 4 2 4" xfId="382"/>
    <cellStyle name="Normal 4 2 4 3" xfId="383"/>
    <cellStyle name="Normal 4 2 4 3 2" xfId="384"/>
    <cellStyle name="Normal 4 2 4 4" xfId="385"/>
    <cellStyle name="Normal 4 2 4 5" xfId="386"/>
    <cellStyle name="Normal 4 2 5" xfId="387"/>
    <cellStyle name="Normal 4 2 5 2" xfId="388"/>
    <cellStyle name="Normal 4 2 5 2 2" xfId="389"/>
    <cellStyle name="Normal 4 2 5 3" xfId="390"/>
    <cellStyle name="Normal 4 2 5 4" xfId="391"/>
    <cellStyle name="Normal 4 2 6" xfId="392"/>
    <cellStyle name="Normal 4 2 6 2" xfId="393"/>
    <cellStyle name="Normal 4 2 7" xfId="394"/>
    <cellStyle name="Normal 4 2 8" xfId="395"/>
    <cellStyle name="Normal 4 3" xfId="396"/>
    <cellStyle name="Normal 4 3 2" xfId="397"/>
    <cellStyle name="Normal 4 3 2 2" xfId="398"/>
    <cellStyle name="Normal 4 3 2 2 2" xfId="399"/>
    <cellStyle name="Normal 4 3 2 2 2 2" xfId="400"/>
    <cellStyle name="Normal 4 3 2 2 3" xfId="401"/>
    <cellStyle name="Normal 4 3 2 2 4" xfId="402"/>
    <cellStyle name="Normal 4 3 2 3" xfId="403"/>
    <cellStyle name="Normal 4 3 2 3 2" xfId="404"/>
    <cellStyle name="Normal 4 3 2 4" xfId="405"/>
    <cellStyle name="Normal 4 3 2 5" xfId="406"/>
    <cellStyle name="Normal 4 3 3" xfId="407"/>
    <cellStyle name="Normal 4 3 3 2" xfId="408"/>
    <cellStyle name="Normal 4 3 3 2 2" xfId="409"/>
    <cellStyle name="Normal 4 3 3 2 2 2" xfId="410"/>
    <cellStyle name="Normal 4 3 3 2 3" xfId="411"/>
    <cellStyle name="Normal 4 3 3 2 4" xfId="412"/>
    <cellStyle name="Normal 4 3 3 3" xfId="413"/>
    <cellStyle name="Normal 4 3 3 3 2" xfId="414"/>
    <cellStyle name="Normal 4 3 3 4" xfId="415"/>
    <cellStyle name="Normal 4 3 3 5" xfId="416"/>
    <cellStyle name="Normal 4 3 4" xfId="417"/>
    <cellStyle name="Normal 4 3 4 2" xfId="418"/>
    <cellStyle name="Normal 4 3 4 2 2" xfId="419"/>
    <cellStyle name="Normal 4 3 4 3" xfId="420"/>
    <cellStyle name="Normal 4 3 4 4" xfId="421"/>
    <cellStyle name="Normal 4 3 5" xfId="422"/>
    <cellStyle name="Normal 4 3 5 2" xfId="423"/>
    <cellStyle name="Normal 4 3 6" xfId="424"/>
    <cellStyle name="Normal 4 3 7" xfId="425"/>
    <cellStyle name="Normal 4 4" xfId="426"/>
    <cellStyle name="Normal 4 5" xfId="427"/>
    <cellStyle name="Normal 4 5 2" xfId="428"/>
    <cellStyle name="Normal 4 5 2 2" xfId="429"/>
    <cellStyle name="Normal 4 5 2 2 2" xfId="430"/>
    <cellStyle name="Normal 4 5 2 3" xfId="431"/>
    <cellStyle name="Normal 4 5 2 4" xfId="432"/>
    <cellStyle name="Normal 4 5 3" xfId="433"/>
    <cellStyle name="Normal 4 5 3 2" xfId="434"/>
    <cellStyle name="Normal 4 5 4" xfId="435"/>
    <cellStyle name="Normal 4 5 5" xfId="436"/>
    <cellStyle name="Normal 4 6" xfId="437"/>
    <cellStyle name="Normal 4 6 2" xfId="438"/>
    <cellStyle name="Normal 4 6 2 2" xfId="439"/>
    <cellStyle name="Normal 4 6 2 2 2" xfId="440"/>
    <cellStyle name="Normal 4 6 2 3" xfId="441"/>
    <cellStyle name="Normal 4 6 2 4" xfId="442"/>
    <cellStyle name="Normal 4 6 3" xfId="443"/>
    <cellStyle name="Normal 4 6 3 2" xfId="444"/>
    <cellStyle name="Normal 4 6 4" xfId="445"/>
    <cellStyle name="Normal 4 6 5" xfId="446"/>
    <cellStyle name="Normal 4 7" xfId="447"/>
    <cellStyle name="Normal 4 7 2" xfId="448"/>
    <cellStyle name="Normal 4 7 2 2" xfId="449"/>
    <cellStyle name="Normal 4 7 3" xfId="450"/>
    <cellStyle name="Normal 4 7 4" xfId="451"/>
    <cellStyle name="Normal 4 8" xfId="452"/>
    <cellStyle name="Normal 4 8 2" xfId="453"/>
    <cellStyle name="Normal 4 9" xfId="454"/>
    <cellStyle name="Normal 4_assumptions" xfId="455"/>
    <cellStyle name="Normal 5" xfId="456"/>
    <cellStyle name="Normal 5 10" xfId="457"/>
    <cellStyle name="Normal 5 11" xfId="458"/>
    <cellStyle name="Normal 5 2" xfId="459"/>
    <cellStyle name="Normal 5 2 2" xfId="460"/>
    <cellStyle name="Normal 5 2 2 2" xfId="461"/>
    <cellStyle name="Normal 5 2 2 2 2" xfId="462"/>
    <cellStyle name="Normal 5 2 2 2 2 2" xfId="463"/>
    <cellStyle name="Normal 5 2 2 2 2 2 2" xfId="464"/>
    <cellStyle name="Normal 5 2 2 2 2 3" xfId="465"/>
    <cellStyle name="Normal 5 2 2 2 2 4" xfId="466"/>
    <cellStyle name="Normal 5 2 2 2 3" xfId="467"/>
    <cellStyle name="Normal 5 2 2 2 3 2" xfId="468"/>
    <cellStyle name="Normal 5 2 2 2 4" xfId="469"/>
    <cellStyle name="Normal 5 2 2 2 5" xfId="470"/>
    <cellStyle name="Normal 5 2 2 3" xfId="471"/>
    <cellStyle name="Normal 5 2 2 3 2" xfId="472"/>
    <cellStyle name="Normal 5 2 2 3 2 2" xfId="473"/>
    <cellStyle name="Normal 5 2 2 3 2 2 2" xfId="474"/>
    <cellStyle name="Normal 5 2 2 3 2 3" xfId="475"/>
    <cellStyle name="Normal 5 2 2 3 2 4" xfId="476"/>
    <cellStyle name="Normal 5 2 2 3 3" xfId="477"/>
    <cellStyle name="Normal 5 2 2 3 3 2" xfId="478"/>
    <cellStyle name="Normal 5 2 2 3 4" xfId="479"/>
    <cellStyle name="Normal 5 2 2 3 5" xfId="480"/>
    <cellStyle name="Normal 5 2 2 4" xfId="481"/>
    <cellStyle name="Normal 5 2 2 4 2" xfId="482"/>
    <cellStyle name="Normal 5 2 2 4 2 2" xfId="483"/>
    <cellStyle name="Normal 5 2 2 4 3" xfId="484"/>
    <cellStyle name="Normal 5 2 2 4 4" xfId="485"/>
    <cellStyle name="Normal 5 2 2 5" xfId="486"/>
    <cellStyle name="Normal 5 2 2 5 2" xfId="487"/>
    <cellStyle name="Normal 5 2 2 6" xfId="488"/>
    <cellStyle name="Normal 5 2 2 7" xfId="489"/>
    <cellStyle name="Normal 5 2 3" xfId="490"/>
    <cellStyle name="Normal 5 2 3 2" xfId="491"/>
    <cellStyle name="Normal 5 2 3 2 2" xfId="492"/>
    <cellStyle name="Normal 5 2 3 2 2 2" xfId="493"/>
    <cellStyle name="Normal 5 2 3 2 3" xfId="494"/>
    <cellStyle name="Normal 5 2 3 2 4" xfId="495"/>
    <cellStyle name="Normal 5 2 3 3" xfId="496"/>
    <cellStyle name="Normal 5 2 3 3 2" xfId="497"/>
    <cellStyle name="Normal 5 2 3 4" xfId="498"/>
    <cellStyle name="Normal 5 2 3 5" xfId="499"/>
    <cellStyle name="Normal 5 2 4" xfId="500"/>
    <cellStyle name="Normal 5 2 4 2" xfId="501"/>
    <cellStyle name="Normal 5 2 4 2 2" xfId="502"/>
    <cellStyle name="Normal 5 2 4 2 2 2" xfId="503"/>
    <cellStyle name="Normal 5 2 4 2 3" xfId="504"/>
    <cellStyle name="Normal 5 2 4 2 4" xfId="505"/>
    <cellStyle name="Normal 5 2 4 3" xfId="506"/>
    <cellStyle name="Normal 5 2 4 3 2" xfId="507"/>
    <cellStyle name="Normal 5 2 4 4" xfId="508"/>
    <cellStyle name="Normal 5 2 4 5" xfId="509"/>
    <cellStyle name="Normal 5 2 5" xfId="510"/>
    <cellStyle name="Normal 5 2 5 2" xfId="511"/>
    <cellStyle name="Normal 5 2 5 2 2" xfId="512"/>
    <cellStyle name="Normal 5 2 5 3" xfId="513"/>
    <cellStyle name="Normal 5 2 5 4" xfId="514"/>
    <cellStyle name="Normal 5 2 6" xfId="515"/>
    <cellStyle name="Normal 5 2 6 2" xfId="516"/>
    <cellStyle name="Normal 5 2 7" xfId="517"/>
    <cellStyle name="Normal 5 2 8" xfId="518"/>
    <cellStyle name="Normal 5 3" xfId="519"/>
    <cellStyle name="Normal 5 3 2" xfId="520"/>
    <cellStyle name="Normal 5 3 2 2" xfId="521"/>
    <cellStyle name="Normal 5 3 2 2 2" xfId="522"/>
    <cellStyle name="Normal 5 3 2 2 2 2" xfId="523"/>
    <cellStyle name="Normal 5 3 2 2 3" xfId="524"/>
    <cellStyle name="Normal 5 3 2 2 4" xfId="525"/>
    <cellStyle name="Normal 5 3 2 3" xfId="526"/>
    <cellStyle name="Normal 5 3 2 3 2" xfId="527"/>
    <cellStyle name="Normal 5 3 2 4" xfId="528"/>
    <cellStyle name="Normal 5 3 2 5" xfId="529"/>
    <cellStyle name="Normal 5 3 3" xfId="530"/>
    <cellStyle name="Normal 5 3 3 2" xfId="531"/>
    <cellStyle name="Normal 5 3 3 2 2" xfId="532"/>
    <cellStyle name="Normal 5 3 3 2 2 2" xfId="533"/>
    <cellStyle name="Normal 5 3 3 2 3" xfId="534"/>
    <cellStyle name="Normal 5 3 3 2 4" xfId="535"/>
    <cellStyle name="Normal 5 3 3 3" xfId="536"/>
    <cellStyle name="Normal 5 3 3 3 2" xfId="537"/>
    <cellStyle name="Normal 5 3 3 4" xfId="538"/>
    <cellStyle name="Normal 5 3 3 5" xfId="539"/>
    <cellStyle name="Normal 5 3 4" xfId="540"/>
    <cellStyle name="Normal 5 3 4 2" xfId="541"/>
    <cellStyle name="Normal 5 3 4 2 2" xfId="542"/>
    <cellStyle name="Normal 5 3 4 3" xfId="543"/>
    <cellStyle name="Normal 5 3 4 4" xfId="544"/>
    <cellStyle name="Normal 5 3 5" xfId="545"/>
    <cellStyle name="Normal 5 3 5 2" xfId="546"/>
    <cellStyle name="Normal 5 3 6" xfId="547"/>
    <cellStyle name="Normal 5 3 7" xfId="548"/>
    <cellStyle name="Normal 5 4" xfId="549"/>
    <cellStyle name="Normal 5 4 2" xfId="550"/>
    <cellStyle name="Normal 5 4 2 2" xfId="551"/>
    <cellStyle name="Normal 5 4 2 2 2" xfId="552"/>
    <cellStyle name="Normal 5 4 2 2 2 2" xfId="553"/>
    <cellStyle name="Normal 5 4 2 2 3" xfId="554"/>
    <cellStyle name="Normal 5 4 2 2 4" xfId="555"/>
    <cellStyle name="Normal 5 4 2 3" xfId="556"/>
    <cellStyle name="Normal 5 4 2 3 2" xfId="557"/>
    <cellStyle name="Normal 5 4 2 4" xfId="558"/>
    <cellStyle name="Normal 5 4 2 5" xfId="559"/>
    <cellStyle name="Normal 5 4 3" xfId="560"/>
    <cellStyle name="Normal 5 4 3 2" xfId="561"/>
    <cellStyle name="Normal 5 4 3 2 2" xfId="562"/>
    <cellStyle name="Normal 5 4 3 2 2 2" xfId="563"/>
    <cellStyle name="Normal 5 4 3 2 3" xfId="564"/>
    <cellStyle name="Normal 5 4 3 2 4" xfId="565"/>
    <cellStyle name="Normal 5 4 3 3" xfId="566"/>
    <cellStyle name="Normal 5 4 3 3 2" xfId="567"/>
    <cellStyle name="Normal 5 4 3 4" xfId="568"/>
    <cellStyle name="Normal 5 4 3 5" xfId="569"/>
    <cellStyle name="Normal 5 4 4" xfId="570"/>
    <cellStyle name="Normal 5 4 4 2" xfId="571"/>
    <cellStyle name="Normal 5 4 4 2 2" xfId="572"/>
    <cellStyle name="Normal 5 4 4 3" xfId="573"/>
    <cellStyle name="Normal 5 4 4 4" xfId="574"/>
    <cellStyle name="Normal 5 4 5" xfId="575"/>
    <cellStyle name="Normal 5 4 5 2" xfId="576"/>
    <cellStyle name="Normal 5 4 6" xfId="577"/>
    <cellStyle name="Normal 5 4 7" xfId="578"/>
    <cellStyle name="Normal 5 5" xfId="579"/>
    <cellStyle name="Normal 5 5 2" xfId="580"/>
    <cellStyle name="Normal 5 5 2 2" xfId="581"/>
    <cellStyle name="Normal 5 5 2 2 2" xfId="582"/>
    <cellStyle name="Normal 5 5 2 3" xfId="583"/>
    <cellStyle name="Normal 5 5 2 4" xfId="584"/>
    <cellStyle name="Normal 5 5 3" xfId="585"/>
    <cellStyle name="Normal 5 5 3 2" xfId="586"/>
    <cellStyle name="Normal 5 5 4" xfId="587"/>
    <cellStyle name="Normal 5 5 5" xfId="588"/>
    <cellStyle name="Normal 5 6" xfId="589"/>
    <cellStyle name="Normal 5 6 2" xfId="590"/>
    <cellStyle name="Normal 5 6 2 2" xfId="591"/>
    <cellStyle name="Normal 5 6 2 2 2" xfId="592"/>
    <cellStyle name="Normal 5 6 2 3" xfId="593"/>
    <cellStyle name="Normal 5 6 2 4" xfId="594"/>
    <cellStyle name="Normal 5 6 3" xfId="595"/>
    <cellStyle name="Normal 5 6 3 2" xfId="596"/>
    <cellStyle name="Normal 5 6 4" xfId="597"/>
    <cellStyle name="Normal 5 6 5" xfId="598"/>
    <cellStyle name="Normal 5 7" xfId="599"/>
    <cellStyle name="Normal 5 7 2" xfId="600"/>
    <cellStyle name="Normal 5 7 2 2" xfId="601"/>
    <cellStyle name="Normal 5 7 3" xfId="602"/>
    <cellStyle name="Normal 5 7 4" xfId="603"/>
    <cellStyle name="Normal 5 8" xfId="604"/>
    <cellStyle name="Normal 5 8 2" xfId="605"/>
    <cellStyle name="Normal 5 8 2 2" xfId="606"/>
    <cellStyle name="Normal 5 8 3" xfId="607"/>
    <cellStyle name="Normal 5 8 4" xfId="608"/>
    <cellStyle name="Normal 5 9" xfId="609"/>
    <cellStyle name="Normal 5 9 2" xfId="610"/>
    <cellStyle name="Normal 6" xfId="611"/>
    <cellStyle name="Normal 6 2" xfId="612"/>
    <cellStyle name="Normal 6 3" xfId="613"/>
    <cellStyle name="Normal 6 3 2" xfId="614"/>
    <cellStyle name="Normal 6 3 2 2" xfId="615"/>
    <cellStyle name="Normal 6 3 3" xfId="616"/>
    <cellStyle name="Normal 6 3 4" xfId="617"/>
    <cellStyle name="Normal 7" xfId="618"/>
    <cellStyle name="Normal 7 2" xfId="619"/>
    <cellStyle name="Normal 7 2 2" xfId="620"/>
    <cellStyle name="Normal 7 2 2 2" xfId="621"/>
    <cellStyle name="Normal 7 2 3" xfId="622"/>
    <cellStyle name="Normal 7 2 4" xfId="623"/>
    <cellStyle name="Normal 7 3" xfId="624"/>
    <cellStyle name="Normal 7 3 2" xfId="625"/>
    <cellStyle name="Normal 7 3 2 2" xfId="626"/>
    <cellStyle name="Normal 7 3 3" xfId="627"/>
    <cellStyle name="Normal 7 3 4" xfId="628"/>
    <cellStyle name="Normal 7 4" xfId="629"/>
    <cellStyle name="Normal 7 4 2" xfId="630"/>
    <cellStyle name="Normal 7 5" xfId="631"/>
    <cellStyle name="Normal 7 6" xfId="632"/>
    <cellStyle name="Normal 8" xfId="633"/>
    <cellStyle name="Normal 9" xfId="634"/>
    <cellStyle name="Note 2" xfId="635"/>
    <cellStyle name="Note 3" xfId="636"/>
    <cellStyle name="Output 2" xfId="637"/>
    <cellStyle name="Percent" xfId="657" builtinId="5"/>
    <cellStyle name="Percent 2" xfId="638"/>
    <cellStyle name="Percent 2 2" xfId="639"/>
    <cellStyle name="Percent 3" xfId="640"/>
    <cellStyle name="Percent 3 2" xfId="641"/>
    <cellStyle name="Percent 4" xfId="642"/>
    <cellStyle name="Porcentaje 2" xfId="643"/>
    <cellStyle name="Porcentaje 3" xfId="644"/>
    <cellStyle name="Porcentaje 4" xfId="645"/>
    <cellStyle name="Porcentaje 5" xfId="646"/>
    <cellStyle name="Porcentual 2" xfId="647"/>
    <cellStyle name="Porcentual 2 2" xfId="648"/>
    <cellStyle name="Porcentual 2 2 2" xfId="649"/>
    <cellStyle name="Porcentual 2 2 2 2" xfId="650"/>
    <cellStyle name="Porcentual 2 2 3" xfId="651"/>
    <cellStyle name="Porcentual 2 2 4" xfId="652"/>
    <cellStyle name="Title 2" xfId="653"/>
    <cellStyle name="Total 2" xfId="654"/>
    <cellStyle name="Warning Text 2" xfId="6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inanarasimhan\Downloads\GRFM1601_EEA%20Chios_V_14.xlsm"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ROSITSA/NFM%202014-2021/RAI/PDPs%20budgets/Annex%20I_PDP5%20budget_IOCD.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rgavazova.14\AppData\Local\Microsoft\Windows\Temporary%20Internet%20Files\Content.Outlook\ZZYVIRM7\Annex%20I_PDP%206.12.02.201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PDP7-RIFS-budget.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rgavazova.14\AppData\Local\Microsoft\Windows\Temporary%20Internet%20Files\Content.Outlook\ZZYVIRM7\Niki_Copy%20of%20Annex%20I_PDP%20budget%20template%20&#1044;&#1040;&#1053;&#1057;_12.0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tatyana.duncheva\AppData\Local\Microsoft\Windows\INetCache\Content.Outlook\9YFFJGL6\Annex%20I_PDP%20budget%20template_07.02.2018_FID%20(3).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IVidolov\AppData\Local\Temp\7zO8E8D3406\PDP9-AMoI_budget.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rgavazova.14\AppData\Local\Microsoft\Windows\Temporary%20Internet%20Files\Content.Outlook\ZZYVIRM7\Annex%20I_PDP%2011.13.02.201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Users\kushnev.14\AppData\Local\Microsoft\Windows\INetCache\Content.Outlook\VCYTSJZM\Annex_I_PDP_12_IOM_18_04_2018.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Users\rgavazova.14\Desktop\PDP13-all.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ROSITSA/NFM%202014-2021/RAI/PDPs%20budgets/Annex%20I_PDP14%20budget_KONP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inanarasimhan/Downloads/GRFM1601_EEA%20Chios_V_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ushnev.14\AppData\Local\Microsoft\Windows\INetCache\Content.Outlook\VCYTSJZM\Copy%20of%20Annex%20I_PDP%20budgets_ALL_BG-HA_12.02.2018_CORRECTED_BRC_20.02.2018%20&#1075;_.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DP2-budget-al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DP2.3-DM-budge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gavazova.14\AppData\Local\Microsoft\Windows\Temporary%20Internet%20Files\Content.Outlook\ZZYVIRM7\PDP3-GDCOC-budget.xlsx"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PDP3%20budget_rev.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uture/&#1053;&#1060;&#1052;%202014%20-%202021/February%202018/PDP3-GDCOC-budget.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PDP4-CISD-Budg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FM1601_EEA Chios_V_14.xlsm"/>
      <sheetName val="_SetUP"/>
      <sheetName val="GRFM1601_EEA Chios_V_14"/>
      <sheetName val="_Income&amp;admin"/>
      <sheetName val="_data sheet"/>
      <sheetName val="_overview"/>
      <sheetName val="_Project"/>
      <sheetName val="_AdmBase"/>
      <sheetName val="1._Detailed_budget"/>
      <sheetName val="2._Salary_Budget"/>
      <sheetName val="3-1._Import_from_master"/>
      <sheetName val="3-2._Import_Salary_from_master"/>
      <sheetName val="_Export_to_FINAL_BUDGET"/>
      <sheetName val="AdminCalc"/>
      <sheetName val="_ADMIN"/>
      <sheetName val="3-3._Transfer_as_APPROVED"/>
      <sheetName val="APPROVED"/>
      <sheetName val="_DONOR FORM Offline"/>
      <sheetName val="NORAD"/>
      <sheetName val="DONOR FORM"/>
      <sheetName val="DONOR FORM account level"/>
      <sheetName val="DFID"/>
      <sheetName val="BPRM"/>
      <sheetName val="EC DONOR FORM"/>
      <sheetName val="DFADT"/>
      <sheetName val="ECHO Financial statement"/>
      <sheetName val="ECHO Financial Overview"/>
      <sheetName val="UNHCR"/>
      <sheetName val="Acc_grp_and_class"/>
      <sheetName val="_Accounts"/>
      <sheetName val="ResNO"/>
      <sheetName val="Activity"/>
      <sheetName val="_CodeClass"/>
      <sheetName val="_CodeDonor"/>
      <sheetName val="CostCenter"/>
      <sheetName val="Location"/>
      <sheetName val="Site"/>
      <sheetName val="_Units"/>
      <sheetName val="_DonorList"/>
      <sheetName val="TopDown"/>
      <sheetName val="_Periods"/>
      <sheetName val="_Blank"/>
      <sheetName val="Sheet1"/>
      <sheetName val="GRFM1601_EEA%20Chios_V_14.xlsm"/>
    </sheetNames>
    <sheetDataSet>
      <sheetData sheetId="0" refreshError="1"/>
      <sheetData sheetId="1">
        <row r="6">
          <cell r="E6" t="str">
            <v>GR</v>
          </cell>
        </row>
        <row r="70">
          <cell r="I70">
            <v>0</v>
          </cell>
        </row>
        <row r="71">
          <cell r="I71">
            <v>1</v>
          </cell>
        </row>
      </sheetData>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8">
          <cell r="C8" t="str">
            <v>Chart Of Accounts</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 val="Sheet2"/>
      <sheetName val="Sheet3"/>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 val="Sheet2"/>
    </sheetNames>
    <sheetDataSet>
      <sheetData sheetId="0" refreshError="1"/>
      <sheetData sheetId="1" refreshError="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s>
    <sheetDataSet>
      <sheetData sheetId="0" refreshError="1"/>
      <sheetData sheetId="1" refreshError="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P12"/>
      <sheetName val="Sheet1"/>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FM1601_EEA Chios_V_14.xlsm"/>
      <sheetName val="_SetUP"/>
      <sheetName val="GRFM1601_EEA Chios_V_14"/>
      <sheetName val="_Income&amp;admin"/>
      <sheetName val="_data sheet"/>
      <sheetName val="_overview"/>
      <sheetName val="_Project"/>
      <sheetName val="_AdmBase"/>
      <sheetName val="1._Detailed_budget"/>
      <sheetName val="2._Salary_Budget"/>
      <sheetName val="3-1._Import_from_master"/>
      <sheetName val="3-2._Import_Salary_from_master"/>
      <sheetName val="_Export_to_FINAL_BUDGET"/>
      <sheetName val="AdminCalc"/>
      <sheetName val="_ADMIN"/>
      <sheetName val="3-3._Transfer_as_APPROVED"/>
      <sheetName val="APPROVED"/>
      <sheetName val="_DONOR FORM Offline"/>
      <sheetName val="NORAD"/>
      <sheetName val="DONOR FORM"/>
      <sheetName val="DONOR FORM account level"/>
      <sheetName val="DFID"/>
      <sheetName val="BPRM"/>
      <sheetName val="EC DONOR FORM"/>
      <sheetName val="DFADT"/>
      <sheetName val="ECHO Financial statement"/>
      <sheetName val="ECHO Financial Overview"/>
      <sheetName val="UNHCR"/>
      <sheetName val="Acc_grp_and_class"/>
      <sheetName val="_Accounts"/>
      <sheetName val="ResNO"/>
      <sheetName val="Activity"/>
      <sheetName val="_CodeClass"/>
      <sheetName val="_CodeDonor"/>
      <sheetName val="CostCenter"/>
      <sheetName val="Location"/>
      <sheetName val="Site"/>
      <sheetName val="_Units"/>
      <sheetName val="_DonorList"/>
      <sheetName val="TopDown"/>
      <sheetName val="_Periods"/>
      <sheetName val="_Blank"/>
      <sheetName val="Sheet1"/>
      <sheetName val="GRFM1601_EEA%20Chios_V_14.xlsm"/>
    </sheetNames>
    <sheetDataSet>
      <sheetData sheetId="0" refreshError="1"/>
      <sheetData sheetId="1">
        <row r="6">
          <cell r="E6" t="str">
            <v>GR</v>
          </cell>
        </row>
        <row r="70">
          <cell r="I70">
            <v>0</v>
          </cell>
        </row>
        <row r="71">
          <cell r="I71">
            <v>1</v>
          </cell>
        </row>
      </sheetData>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8">
          <cell r="C8" t="str">
            <v>Chart Of Accounts</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P1"/>
      <sheetName val="Sheet1"/>
      <sheetName val="PDP2"/>
      <sheetName val="PDP3"/>
      <sheetName val="PDP4"/>
      <sheetName val="PDP5"/>
      <sheetName val="PDP6"/>
      <sheetName val="PDP7"/>
      <sheetName val="PDP8"/>
      <sheetName val="PDP9"/>
      <sheetName val="PDP10"/>
      <sheetName val="PDP11"/>
      <sheetName val="PDP12"/>
      <sheetName val="PDP13"/>
      <sheetName val="PDP14"/>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 val="Sheet2"/>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s>
    <sheetDataSet>
      <sheetData sheetId="0" refreshError="1"/>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 val="tablica 1"/>
      <sheetName val="tablica 2"/>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per output-activity"/>
      <sheetName val="Sheet1"/>
    </sheetNames>
    <sheetDataSet>
      <sheetData sheetId="0"/>
      <sheetData sheetId="1">
        <row r="1">
          <cell r="A1" t="str">
            <v>Cost of staff assigned to the project - Reg. Art. 8.3.1.a</v>
          </cell>
        </row>
        <row r="2">
          <cell r="A2" t="str">
            <v>Travel and subsistence allowances for staff - Reg. Art. 8.3.1.b</v>
          </cell>
          <cell r="B2" t="str">
            <v>If lump sums, include a reference to the defined rules approved by the PO.</v>
          </cell>
        </row>
        <row r="3">
          <cell r="A3" t="str">
            <v xml:space="preserve">Depreciation value for new or second hand equipment purchased - Reg. Art. 8.2.4 </v>
          </cell>
        </row>
        <row r="4">
          <cell r="A4" t="str">
            <v>Cost of new or second hand equipment - Reg. Art. 8.3.1.c &amp; Art. 8.3.2</v>
          </cell>
          <cell r="B4" t="str">
            <v xml:space="preserve">Refer to a document confirming that the PO determined the equipment as integral and necessary for achieving the outcomes of the PDP. </v>
          </cell>
        </row>
        <row r="5">
          <cell r="A5" t="str">
            <v>Purchase of land and real estate - Reg. Art. 8.3.1.d &amp; Art. 8.6</v>
          </cell>
        </row>
        <row r="6">
          <cell r="A6" t="str">
            <v>Costs of consumables and supplies - Reg. Art. 8.3.1.e</v>
          </cell>
        </row>
        <row r="7">
          <cell r="A7" t="str">
            <v xml:space="preserve">Costs entailed by other contracts awarded by PP for the purpose of carrying out the project - Reg. Art. 8.3.1.f </v>
          </cell>
          <cell r="B7" t="str">
            <v>Awarding should comply with the applicable rules on public procurement  (Regulations Art. 8.15).</v>
          </cell>
        </row>
        <row r="8">
          <cell r="A8" t="str">
            <v>Costs arising directly from requirements imposed by the project contract - Reg. Art. 8.3.1.g</v>
          </cell>
          <cell r="B8" t="str">
            <v>Include a reference to the relevant article of the project contract.
Examples of costs: information/publicity, translations, specific evaluation, audits, charges for financial transactions, etc.</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topLeftCell="A55" zoomScale="110" zoomScaleNormal="110" workbookViewId="0">
      <selection activeCell="B78" sqref="B78"/>
    </sheetView>
  </sheetViews>
  <sheetFormatPr defaultColWidth="5.28515625" defaultRowHeight="15" zeroHeight="1" x14ac:dyDescent="0.25"/>
  <cols>
    <col min="1" max="1" width="41" customWidth="1"/>
    <col min="2" max="2" width="13.28515625" customWidth="1"/>
    <col min="3" max="5" width="10.5703125" customWidth="1"/>
    <col min="6" max="6" width="17.85546875" customWidth="1"/>
    <col min="7" max="7" width="35.42578125" customWidth="1"/>
    <col min="8" max="8" width="16.28515625" style="45" customWidth="1"/>
    <col min="9" max="9" width="7.7109375" bestFit="1" customWidth="1"/>
  </cols>
  <sheetData>
    <row r="1" spans="1:8" x14ac:dyDescent="0.25">
      <c r="A1" s="13" t="s">
        <v>17</v>
      </c>
      <c r="B1" s="14"/>
      <c r="C1" s="14"/>
      <c r="D1" s="15"/>
      <c r="E1" s="15"/>
      <c r="F1" s="15"/>
      <c r="G1" s="15"/>
      <c r="H1" s="29"/>
    </row>
    <row r="2" spans="1:8" ht="15.75" thickBot="1" x14ac:dyDescent="0.3">
      <c r="A2" s="15"/>
      <c r="B2" s="15"/>
      <c r="C2" s="15"/>
      <c r="D2" s="15"/>
      <c r="E2" s="15"/>
      <c r="F2" s="15"/>
      <c r="G2" s="15"/>
      <c r="H2" s="29"/>
    </row>
    <row r="3" spans="1:8" ht="15.75" thickBot="1" x14ac:dyDescent="0.3">
      <c r="A3" s="7" t="s">
        <v>7</v>
      </c>
      <c r="B3" s="499" t="s">
        <v>171</v>
      </c>
      <c r="C3" s="500"/>
      <c r="D3" s="500"/>
      <c r="E3" s="500"/>
      <c r="F3" s="500"/>
      <c r="G3" s="501"/>
      <c r="H3" s="30"/>
    </row>
    <row r="4" spans="1:8" ht="15.75" thickBot="1" x14ac:dyDescent="0.3">
      <c r="A4" s="8" t="s">
        <v>15</v>
      </c>
      <c r="B4" s="499" t="s">
        <v>58</v>
      </c>
      <c r="C4" s="500"/>
      <c r="D4" s="500"/>
      <c r="E4" s="500"/>
      <c r="F4" s="500"/>
      <c r="G4" s="501"/>
      <c r="H4" s="30"/>
    </row>
    <row r="5" spans="1:8" ht="15.75" thickBot="1" x14ac:dyDescent="0.3">
      <c r="A5" s="8" t="s">
        <v>8</v>
      </c>
      <c r="B5" s="499" t="s">
        <v>59</v>
      </c>
      <c r="C5" s="500"/>
      <c r="D5" s="500"/>
      <c r="E5" s="500"/>
      <c r="F5" s="500"/>
      <c r="G5" s="501"/>
      <c r="H5" s="30"/>
    </row>
    <row r="6" spans="1:8" ht="15.75" thickBot="1" x14ac:dyDescent="0.3">
      <c r="A6" s="8" t="s">
        <v>16</v>
      </c>
      <c r="B6" s="502">
        <v>4000000</v>
      </c>
      <c r="C6" s="503"/>
      <c r="D6" s="503"/>
      <c r="E6" s="503"/>
      <c r="F6" s="503"/>
      <c r="G6" s="504"/>
      <c r="H6" s="31"/>
    </row>
    <row r="7" spans="1:8" ht="15.75" thickBot="1" x14ac:dyDescent="0.3">
      <c r="A7" s="8" t="s">
        <v>2</v>
      </c>
      <c r="B7" s="505">
        <v>1</v>
      </c>
      <c r="C7" s="506"/>
      <c r="D7" s="506"/>
      <c r="E7" s="506"/>
      <c r="F7" s="506"/>
      <c r="G7" s="507"/>
      <c r="H7" s="32"/>
    </row>
    <row r="8" spans="1:8" ht="15.75" thickBot="1" x14ac:dyDescent="0.3">
      <c r="A8" s="8" t="s">
        <v>9</v>
      </c>
      <c r="B8" s="508" t="s">
        <v>60</v>
      </c>
      <c r="C8" s="509"/>
      <c r="D8" s="509"/>
      <c r="E8" s="509"/>
      <c r="F8" s="509"/>
      <c r="G8" s="510"/>
      <c r="H8" s="32"/>
    </row>
    <row r="9" spans="1:8" ht="15.75" thickBot="1" x14ac:dyDescent="0.3">
      <c r="A9" s="23"/>
      <c r="B9" s="24"/>
      <c r="C9" s="22"/>
      <c r="D9" s="22"/>
      <c r="E9" s="22"/>
      <c r="F9" s="22"/>
      <c r="G9" s="22"/>
      <c r="H9" s="33"/>
    </row>
    <row r="10" spans="1:8" ht="47.25" customHeight="1" thickBot="1" x14ac:dyDescent="0.3">
      <c r="A10" s="28"/>
      <c r="B10" s="26" t="s">
        <v>0</v>
      </c>
      <c r="C10" s="26" t="s">
        <v>14</v>
      </c>
      <c r="D10" s="26" t="s">
        <v>23</v>
      </c>
      <c r="E10" s="26" t="s">
        <v>18</v>
      </c>
      <c r="F10" s="26" t="s">
        <v>10</v>
      </c>
      <c r="G10" s="27" t="s">
        <v>1</v>
      </c>
      <c r="H10" s="34" t="s">
        <v>36</v>
      </c>
    </row>
    <row r="11" spans="1:8" ht="15.75" thickBot="1" x14ac:dyDescent="0.3">
      <c r="A11" s="511" t="s">
        <v>21</v>
      </c>
      <c r="B11" s="512"/>
      <c r="C11" s="512"/>
      <c r="D11" s="512"/>
      <c r="E11" s="512"/>
      <c r="F11" s="512"/>
      <c r="G11" s="513"/>
      <c r="H11" s="35"/>
    </row>
    <row r="12" spans="1:8" ht="15.75" thickBot="1" x14ac:dyDescent="0.3">
      <c r="A12" s="514" t="s">
        <v>24</v>
      </c>
      <c r="B12" s="515"/>
      <c r="C12" s="515"/>
      <c r="D12" s="515"/>
      <c r="E12" s="515"/>
      <c r="F12" s="515"/>
      <c r="G12" s="516"/>
      <c r="H12" s="36"/>
    </row>
    <row r="13" spans="1:8" ht="34.5" thickBot="1" x14ac:dyDescent="0.3">
      <c r="A13" s="74" t="s">
        <v>765</v>
      </c>
      <c r="B13" s="2" t="s">
        <v>68</v>
      </c>
      <c r="C13" s="2">
        <v>60</v>
      </c>
      <c r="D13" s="73">
        <v>1200</v>
      </c>
      <c r="E13" s="49">
        <f>+C13*D13</f>
        <v>72000</v>
      </c>
      <c r="F13" s="12" t="s">
        <v>50</v>
      </c>
      <c r="G13" s="5" t="s">
        <v>96</v>
      </c>
      <c r="H13" s="73"/>
    </row>
    <row r="14" spans="1:8" ht="34.5" thickBot="1" x14ac:dyDescent="0.3">
      <c r="A14" s="1" t="s">
        <v>766</v>
      </c>
      <c r="B14" s="2" t="s">
        <v>68</v>
      </c>
      <c r="C14" s="2">
        <v>60</v>
      </c>
      <c r="D14" s="54">
        <v>1100</v>
      </c>
      <c r="E14" s="49">
        <f t="shared" ref="E14:E22" si="0">+C14*D14</f>
        <v>66000</v>
      </c>
      <c r="F14" s="12" t="s">
        <v>50</v>
      </c>
      <c r="G14" s="5"/>
      <c r="H14" s="73"/>
    </row>
    <row r="15" spans="1:8" ht="34.5" thickBot="1" x14ac:dyDescent="0.3">
      <c r="A15" s="1" t="s">
        <v>767</v>
      </c>
      <c r="B15" s="2" t="s">
        <v>68</v>
      </c>
      <c r="C15" s="2">
        <v>60</v>
      </c>
      <c r="D15" s="54">
        <v>275</v>
      </c>
      <c r="E15" s="49">
        <f t="shared" si="0"/>
        <v>16500</v>
      </c>
      <c r="F15" s="12" t="s">
        <v>50</v>
      </c>
      <c r="G15" s="5"/>
      <c r="H15" s="73"/>
    </row>
    <row r="16" spans="1:8" ht="34.5" thickBot="1" x14ac:dyDescent="0.3">
      <c r="A16" s="74" t="s">
        <v>768</v>
      </c>
      <c r="B16" s="2" t="s">
        <v>68</v>
      </c>
      <c r="C16" s="2">
        <v>60</v>
      </c>
      <c r="D16" s="73">
        <v>1000</v>
      </c>
      <c r="E16" s="49">
        <f t="shared" si="0"/>
        <v>60000</v>
      </c>
      <c r="F16" s="12" t="s">
        <v>50</v>
      </c>
      <c r="G16" s="5" t="s">
        <v>97</v>
      </c>
      <c r="H16" s="73"/>
    </row>
    <row r="17" spans="1:9" ht="34.5" thickBot="1" x14ac:dyDescent="0.3">
      <c r="A17" s="74" t="s">
        <v>769</v>
      </c>
      <c r="B17" s="2" t="s">
        <v>66</v>
      </c>
      <c r="C17" s="2">
        <v>500</v>
      </c>
      <c r="D17" s="73">
        <v>12</v>
      </c>
      <c r="E17" s="49">
        <f>+C17*D17</f>
        <v>6000</v>
      </c>
      <c r="F17" s="12" t="s">
        <v>50</v>
      </c>
      <c r="G17" s="5" t="s">
        <v>96</v>
      </c>
      <c r="H17" s="73"/>
    </row>
    <row r="18" spans="1:9" ht="34.5" thickBot="1" x14ac:dyDescent="0.3">
      <c r="A18" s="74" t="s">
        <v>770</v>
      </c>
      <c r="B18" s="2" t="s">
        <v>66</v>
      </c>
      <c r="C18" s="2">
        <v>3750</v>
      </c>
      <c r="D18" s="73">
        <v>8</v>
      </c>
      <c r="E18" s="49">
        <f t="shared" si="0"/>
        <v>30000</v>
      </c>
      <c r="F18" s="12" t="s">
        <v>50</v>
      </c>
      <c r="G18" s="5"/>
      <c r="H18" s="73"/>
    </row>
    <row r="19" spans="1:9" ht="34.5" thickBot="1" x14ac:dyDescent="0.3">
      <c r="A19" s="1" t="s">
        <v>771</v>
      </c>
      <c r="B19" s="2" t="s">
        <v>66</v>
      </c>
      <c r="C19" s="2">
        <v>360</v>
      </c>
      <c r="D19" s="49">
        <v>10</v>
      </c>
      <c r="E19" s="49">
        <f t="shared" si="0"/>
        <v>3600</v>
      </c>
      <c r="F19" s="12" t="s">
        <v>50</v>
      </c>
      <c r="G19" s="5" t="s">
        <v>97</v>
      </c>
      <c r="H19" s="73"/>
    </row>
    <row r="20" spans="1:9" ht="46.5" customHeight="1" thickBot="1" x14ac:dyDescent="0.3">
      <c r="A20" s="1" t="s">
        <v>74</v>
      </c>
      <c r="B20" s="2" t="s">
        <v>81</v>
      </c>
      <c r="C20" s="3">
        <v>5</v>
      </c>
      <c r="D20" s="49">
        <v>3000</v>
      </c>
      <c r="E20" s="49">
        <f t="shared" si="0"/>
        <v>15000</v>
      </c>
      <c r="F20" s="12" t="s">
        <v>51</v>
      </c>
      <c r="G20" s="46" t="s">
        <v>98</v>
      </c>
      <c r="H20" s="25"/>
    </row>
    <row r="21" spans="1:9" ht="34.5" thickBot="1" x14ac:dyDescent="0.3">
      <c r="A21" s="55" t="s">
        <v>84</v>
      </c>
      <c r="B21" s="56" t="s">
        <v>66</v>
      </c>
      <c r="C21" s="57">
        <v>656</v>
      </c>
      <c r="D21" s="58">
        <v>12</v>
      </c>
      <c r="E21" s="58">
        <f t="shared" si="0"/>
        <v>7872</v>
      </c>
      <c r="F21" s="12" t="s">
        <v>50</v>
      </c>
      <c r="G21" s="5"/>
      <c r="H21" s="25"/>
      <c r="I21" s="282"/>
    </row>
    <row r="22" spans="1:9" ht="34.5" thickBot="1" x14ac:dyDescent="0.3">
      <c r="A22" s="55" t="s">
        <v>94</v>
      </c>
      <c r="B22" s="56" t="s">
        <v>68</v>
      </c>
      <c r="C22" s="57">
        <v>60</v>
      </c>
      <c r="D22" s="58">
        <v>50</v>
      </c>
      <c r="E22" s="58">
        <f t="shared" si="0"/>
        <v>3000</v>
      </c>
      <c r="F22" s="12" t="s">
        <v>55</v>
      </c>
      <c r="G22" s="5"/>
      <c r="H22" s="25"/>
    </row>
    <row r="23" spans="1:9" ht="15.75" thickBot="1" x14ac:dyDescent="0.3">
      <c r="A23" s="60"/>
      <c r="B23" s="61"/>
      <c r="C23" s="62"/>
      <c r="D23" s="58"/>
      <c r="E23" s="58"/>
      <c r="F23" s="12"/>
      <c r="G23" s="46"/>
      <c r="H23" s="25"/>
    </row>
    <row r="24" spans="1:9" ht="15.75" customHeight="1" thickBot="1" x14ac:dyDescent="0.3">
      <c r="A24" s="517" t="s">
        <v>3</v>
      </c>
      <c r="B24" s="518"/>
      <c r="C24" s="518"/>
      <c r="D24" s="519"/>
      <c r="E24" s="63">
        <f>SUM(E13:E23)</f>
        <v>279972</v>
      </c>
      <c r="F24" s="12"/>
      <c r="G24" s="59"/>
      <c r="H24" s="25"/>
    </row>
    <row r="25" spans="1:9" ht="15.75" thickBot="1" x14ac:dyDescent="0.3">
      <c r="A25" s="520" t="s">
        <v>62</v>
      </c>
      <c r="B25" s="521"/>
      <c r="C25" s="521"/>
      <c r="D25" s="521"/>
      <c r="E25" s="521"/>
      <c r="F25" s="521"/>
      <c r="G25" s="522"/>
      <c r="H25" s="37"/>
    </row>
    <row r="26" spans="1:9" ht="135.75" customHeight="1" thickBot="1" x14ac:dyDescent="0.3">
      <c r="A26" s="47" t="s">
        <v>85</v>
      </c>
      <c r="B26" s="48" t="s">
        <v>65</v>
      </c>
      <c r="C26" s="48">
        <v>1</v>
      </c>
      <c r="D26" s="49">
        <v>1673248</v>
      </c>
      <c r="E26" s="49">
        <f>+C26*D26</f>
        <v>1673248</v>
      </c>
      <c r="F26" s="50" t="s">
        <v>56</v>
      </c>
      <c r="G26" s="51" t="s">
        <v>772</v>
      </c>
      <c r="H26" s="25" t="str">
        <f>IF(F26=0," ",VLOOKUP(F26,[3]Sheet1!$A$1:$B$8,2,FALSE))</f>
        <v>Awarding should comply with the applicable rules on public procurement  (Regulations Art. 8.15).</v>
      </c>
    </row>
    <row r="27" spans="1:9" ht="34.5" thickBot="1" x14ac:dyDescent="0.3">
      <c r="A27" s="75" t="s">
        <v>91</v>
      </c>
      <c r="B27" s="48" t="s">
        <v>93</v>
      </c>
      <c r="C27" s="48">
        <v>24</v>
      </c>
      <c r="D27" s="73">
        <v>600</v>
      </c>
      <c r="E27" s="49">
        <f>+C27*D27</f>
        <v>14400</v>
      </c>
      <c r="F27" s="50" t="s">
        <v>50</v>
      </c>
      <c r="G27" s="51" t="s">
        <v>99</v>
      </c>
      <c r="H27" s="25"/>
    </row>
    <row r="28" spans="1:9" ht="34.5" thickBot="1" x14ac:dyDescent="0.3">
      <c r="A28" s="47" t="s">
        <v>86</v>
      </c>
      <c r="B28" s="48" t="s">
        <v>66</v>
      </c>
      <c r="C28" s="77">
        <v>550</v>
      </c>
      <c r="D28" s="49">
        <v>20</v>
      </c>
      <c r="E28" s="49">
        <f t="shared" ref="E28:E44" si="1">+C28*D28</f>
        <v>11000</v>
      </c>
      <c r="F28" s="50" t="s">
        <v>50</v>
      </c>
      <c r="G28" s="51" t="s">
        <v>100</v>
      </c>
      <c r="H28" s="25"/>
    </row>
    <row r="29" spans="1:9" ht="34.5" thickBot="1" x14ac:dyDescent="0.3">
      <c r="A29" s="75" t="s">
        <v>105</v>
      </c>
      <c r="B29" s="77" t="s">
        <v>68</v>
      </c>
      <c r="C29" s="77">
        <v>36</v>
      </c>
      <c r="D29" s="73">
        <v>394</v>
      </c>
      <c r="E29" s="73">
        <f t="shared" si="1"/>
        <v>14184</v>
      </c>
      <c r="F29" s="457" t="s">
        <v>51</v>
      </c>
      <c r="G29" s="458" t="s">
        <v>106</v>
      </c>
      <c r="H29" s="459"/>
    </row>
    <row r="30" spans="1:9" ht="34.5" thickBot="1" x14ac:dyDescent="0.3">
      <c r="A30" s="47" t="s">
        <v>87</v>
      </c>
      <c r="B30" s="48" t="s">
        <v>66</v>
      </c>
      <c r="C30" s="48">
        <v>1200</v>
      </c>
      <c r="D30" s="49">
        <v>20</v>
      </c>
      <c r="E30" s="49">
        <f t="shared" si="1"/>
        <v>24000</v>
      </c>
      <c r="F30" s="50" t="s">
        <v>50</v>
      </c>
      <c r="G30" s="51" t="s">
        <v>100</v>
      </c>
      <c r="H30" s="25"/>
    </row>
    <row r="31" spans="1:9" ht="34.5" thickBot="1" x14ac:dyDescent="0.3">
      <c r="A31" s="47" t="s">
        <v>67</v>
      </c>
      <c r="B31" s="48" t="s">
        <v>68</v>
      </c>
      <c r="C31" s="48">
        <v>36</v>
      </c>
      <c r="D31" s="49">
        <v>1250</v>
      </c>
      <c r="E31" s="49">
        <f t="shared" si="1"/>
        <v>45000</v>
      </c>
      <c r="F31" s="50" t="s">
        <v>50</v>
      </c>
      <c r="G31" s="51"/>
      <c r="H31" s="25"/>
    </row>
    <row r="32" spans="1:9" ht="34.5" thickBot="1" x14ac:dyDescent="0.3">
      <c r="A32" s="47" t="s">
        <v>69</v>
      </c>
      <c r="B32" s="48" t="s">
        <v>68</v>
      </c>
      <c r="C32" s="48">
        <v>36</v>
      </c>
      <c r="D32" s="49">
        <v>850</v>
      </c>
      <c r="E32" s="49">
        <f t="shared" si="1"/>
        <v>30600</v>
      </c>
      <c r="F32" s="50" t="s">
        <v>50</v>
      </c>
      <c r="G32" s="51"/>
      <c r="H32" s="25"/>
    </row>
    <row r="33" spans="1:8" ht="34.5" thickBot="1" x14ac:dyDescent="0.3">
      <c r="A33" s="75" t="s">
        <v>104</v>
      </c>
      <c r="B33" s="77" t="s">
        <v>71</v>
      </c>
      <c r="C33" s="77">
        <f>15*36</f>
        <v>540</v>
      </c>
      <c r="D33" s="73">
        <v>790</v>
      </c>
      <c r="E33" s="73">
        <f t="shared" si="1"/>
        <v>426600</v>
      </c>
      <c r="F33" s="50" t="s">
        <v>50</v>
      </c>
      <c r="G33" s="51"/>
      <c r="H33" s="25"/>
    </row>
    <row r="34" spans="1:8" ht="34.5" thickBot="1" x14ac:dyDescent="0.3">
      <c r="A34" s="47" t="s">
        <v>83</v>
      </c>
      <c r="B34" s="48" t="s">
        <v>68</v>
      </c>
      <c r="C34" s="48">
        <f>2*36</f>
        <v>72</v>
      </c>
      <c r="D34" s="49">
        <v>1000</v>
      </c>
      <c r="E34" s="49">
        <f t="shared" si="1"/>
        <v>72000</v>
      </c>
      <c r="F34" s="50" t="s">
        <v>50</v>
      </c>
      <c r="G34" s="51"/>
      <c r="H34" s="25"/>
    </row>
    <row r="35" spans="1:8" ht="34.5" thickBot="1" x14ac:dyDescent="0.3">
      <c r="A35" s="47" t="s">
        <v>70</v>
      </c>
      <c r="B35" s="48" t="s">
        <v>66</v>
      </c>
      <c r="C35" s="48">
        <v>7000</v>
      </c>
      <c r="D35" s="49">
        <v>15</v>
      </c>
      <c r="E35" s="49">
        <f t="shared" si="1"/>
        <v>105000</v>
      </c>
      <c r="F35" s="50" t="s">
        <v>50</v>
      </c>
      <c r="G35" s="51"/>
      <c r="H35" s="25"/>
    </row>
    <row r="36" spans="1:8" ht="34.5" thickBot="1" x14ac:dyDescent="0.3">
      <c r="A36" s="47" t="s">
        <v>82</v>
      </c>
      <c r="B36" s="48" t="s">
        <v>68</v>
      </c>
      <c r="C36" s="48">
        <f>2*36</f>
        <v>72</v>
      </c>
      <c r="D36" s="49">
        <v>850</v>
      </c>
      <c r="E36" s="49">
        <f t="shared" si="1"/>
        <v>61200</v>
      </c>
      <c r="F36" s="50" t="s">
        <v>50</v>
      </c>
      <c r="G36" s="51"/>
      <c r="H36" s="25"/>
    </row>
    <row r="37" spans="1:8" ht="34.5" thickBot="1" x14ac:dyDescent="0.3">
      <c r="A37" s="47" t="s">
        <v>773</v>
      </c>
      <c r="B37" s="48" t="s">
        <v>68</v>
      </c>
      <c r="C37" s="48">
        <v>72</v>
      </c>
      <c r="D37" s="49">
        <v>650</v>
      </c>
      <c r="E37" s="49">
        <f t="shared" si="1"/>
        <v>46800</v>
      </c>
      <c r="F37" s="50" t="s">
        <v>50</v>
      </c>
      <c r="G37" s="51"/>
      <c r="H37" s="25"/>
    </row>
    <row r="38" spans="1:8" ht="34.5" thickBot="1" x14ac:dyDescent="0.3">
      <c r="A38" s="47" t="s">
        <v>73</v>
      </c>
      <c r="B38" s="48" t="s">
        <v>71</v>
      </c>
      <c r="C38" s="48">
        <f>3*36</f>
        <v>108</v>
      </c>
      <c r="D38" s="49">
        <v>400</v>
      </c>
      <c r="E38" s="49">
        <f t="shared" si="1"/>
        <v>43200</v>
      </c>
      <c r="F38" s="50" t="s">
        <v>50</v>
      </c>
      <c r="G38" s="51"/>
      <c r="H38" s="25"/>
    </row>
    <row r="39" spans="1:8" ht="57" thickBot="1" x14ac:dyDescent="0.3">
      <c r="A39" s="47" t="s">
        <v>72</v>
      </c>
      <c r="B39" s="48" t="s">
        <v>68</v>
      </c>
      <c r="C39" s="48">
        <v>36</v>
      </c>
      <c r="D39" s="49">
        <v>4000</v>
      </c>
      <c r="E39" s="49">
        <f t="shared" si="1"/>
        <v>144000</v>
      </c>
      <c r="F39" s="50" t="s">
        <v>56</v>
      </c>
      <c r="G39" s="51" t="s">
        <v>101</v>
      </c>
      <c r="H39" s="25"/>
    </row>
    <row r="40" spans="1:8" ht="57" thickBot="1" x14ac:dyDescent="0.3">
      <c r="A40" s="47" t="s">
        <v>77</v>
      </c>
      <c r="B40" s="48" t="s">
        <v>68</v>
      </c>
      <c r="C40" s="48">
        <v>36</v>
      </c>
      <c r="D40" s="73">
        <f>50*10*31</f>
        <v>15500</v>
      </c>
      <c r="E40" s="49">
        <f t="shared" si="1"/>
        <v>558000</v>
      </c>
      <c r="F40" s="50" t="s">
        <v>56</v>
      </c>
      <c r="G40" s="51" t="s">
        <v>101</v>
      </c>
      <c r="H40" s="25"/>
    </row>
    <row r="41" spans="1:8" ht="57" thickBot="1" x14ac:dyDescent="0.3">
      <c r="A41" s="47" t="s">
        <v>80</v>
      </c>
      <c r="B41" s="48" t="s">
        <v>81</v>
      </c>
      <c r="C41" s="48">
        <v>2</v>
      </c>
      <c r="D41" s="49">
        <v>12000</v>
      </c>
      <c r="E41" s="49">
        <f t="shared" si="1"/>
        <v>24000</v>
      </c>
      <c r="F41" s="50" t="s">
        <v>56</v>
      </c>
      <c r="G41" s="51" t="s">
        <v>102</v>
      </c>
      <c r="H41" s="25"/>
    </row>
    <row r="42" spans="1:8" ht="34.5" thickBot="1" x14ac:dyDescent="0.3">
      <c r="A42" s="47" t="s">
        <v>95</v>
      </c>
      <c r="B42" s="48" t="s">
        <v>68</v>
      </c>
      <c r="C42" s="48">
        <v>36</v>
      </c>
      <c r="D42" s="49">
        <v>8000</v>
      </c>
      <c r="E42" s="49">
        <f t="shared" si="1"/>
        <v>288000</v>
      </c>
      <c r="F42" s="50" t="s">
        <v>55</v>
      </c>
      <c r="G42" s="51"/>
      <c r="H42" s="25"/>
    </row>
    <row r="43" spans="1:8" ht="57" thickBot="1" x14ac:dyDescent="0.3">
      <c r="A43" s="47" t="s">
        <v>78</v>
      </c>
      <c r="B43" s="48" t="s">
        <v>76</v>
      </c>
      <c r="C43" s="48">
        <v>1</v>
      </c>
      <c r="D43" s="49">
        <v>40000</v>
      </c>
      <c r="E43" s="49">
        <f t="shared" si="1"/>
        <v>40000</v>
      </c>
      <c r="F43" s="50" t="s">
        <v>53</v>
      </c>
      <c r="G43" s="51" t="s">
        <v>103</v>
      </c>
      <c r="H43" s="25"/>
    </row>
    <row r="44" spans="1:8" ht="34.5" thickBot="1" x14ac:dyDescent="0.3">
      <c r="A44" s="47" t="s">
        <v>79</v>
      </c>
      <c r="B44" s="48" t="s">
        <v>68</v>
      </c>
      <c r="C44" s="48">
        <v>36</v>
      </c>
      <c r="D44" s="49">
        <v>600</v>
      </c>
      <c r="E44" s="49">
        <f t="shared" si="1"/>
        <v>21600</v>
      </c>
      <c r="F44" s="50" t="s">
        <v>55</v>
      </c>
      <c r="G44" s="51"/>
      <c r="H44" s="25"/>
    </row>
    <row r="45" spans="1:8" ht="15.75" thickBot="1" x14ac:dyDescent="0.3">
      <c r="A45" s="487" t="s">
        <v>4</v>
      </c>
      <c r="B45" s="488"/>
      <c r="C45" s="488"/>
      <c r="D45" s="489"/>
      <c r="E45" s="64">
        <f>SUM(E26:E44)</f>
        <v>3642832</v>
      </c>
      <c r="F45" s="50"/>
      <c r="G45" s="51"/>
      <c r="H45" s="25" t="str">
        <f>IF(F45=0," ",VLOOKUP(F45,[3]Sheet1!$A$1:$B$8,2,FALSE))</f>
        <v xml:space="preserve"> </v>
      </c>
    </row>
    <row r="46" spans="1:8" ht="15.75" customHeight="1" thickBot="1" x14ac:dyDescent="0.3">
      <c r="A46" s="490" t="s">
        <v>63</v>
      </c>
      <c r="B46" s="491"/>
      <c r="C46" s="491"/>
      <c r="D46" s="491"/>
      <c r="E46" s="491"/>
      <c r="F46" s="491"/>
      <c r="G46" s="492"/>
      <c r="H46" s="37"/>
    </row>
    <row r="47" spans="1:8" ht="41.25" customHeight="1" thickBot="1" x14ac:dyDescent="0.3">
      <c r="A47" s="75" t="s">
        <v>89</v>
      </c>
      <c r="B47" s="76" t="s">
        <v>66</v>
      </c>
      <c r="C47" s="77">
        <v>120</v>
      </c>
      <c r="D47" s="73">
        <v>17</v>
      </c>
      <c r="E47" s="49">
        <f>+C47*D47</f>
        <v>2040</v>
      </c>
      <c r="F47" s="50" t="s">
        <v>50</v>
      </c>
      <c r="G47" s="51"/>
      <c r="H47" s="25"/>
    </row>
    <row r="48" spans="1:8" ht="63" customHeight="1" thickBot="1" x14ac:dyDescent="0.3">
      <c r="A48" s="75" t="s">
        <v>90</v>
      </c>
      <c r="B48" s="76" t="s">
        <v>75</v>
      </c>
      <c r="C48" s="77">
        <v>1</v>
      </c>
      <c r="D48" s="73">
        <v>11156</v>
      </c>
      <c r="E48" s="49">
        <f t="shared" ref="E48" si="2">+C48*D48</f>
        <v>11156</v>
      </c>
      <c r="F48" s="50" t="s">
        <v>51</v>
      </c>
      <c r="G48" s="51"/>
      <c r="H48" s="25"/>
    </row>
    <row r="49" spans="1:8" ht="15.75" thickBot="1" x14ac:dyDescent="0.3">
      <c r="A49" s="487" t="s">
        <v>5</v>
      </c>
      <c r="B49" s="488"/>
      <c r="C49" s="488"/>
      <c r="D49" s="489"/>
      <c r="E49" s="63">
        <f>SUM(E47:E48)</f>
        <v>13196</v>
      </c>
      <c r="F49" s="50"/>
      <c r="G49" s="52"/>
      <c r="H49" s="25" t="str">
        <f>IF(F49=0," ",VLOOKUP(F49,[3]Sheet1!$A$1:$B$8,2,FALSE))</f>
        <v xml:space="preserve"> </v>
      </c>
    </row>
    <row r="50" spans="1:8" ht="15.75" customHeight="1" thickBot="1" x14ac:dyDescent="0.3">
      <c r="A50" s="490" t="s">
        <v>64</v>
      </c>
      <c r="B50" s="491"/>
      <c r="C50" s="491"/>
      <c r="D50" s="491"/>
      <c r="E50" s="491"/>
      <c r="F50" s="491"/>
      <c r="G50" s="492"/>
      <c r="H50" s="37"/>
    </row>
    <row r="51" spans="1:8" ht="135.75" thickBot="1" x14ac:dyDescent="0.3">
      <c r="A51" s="47" t="s">
        <v>88</v>
      </c>
      <c r="B51" s="48" t="s">
        <v>66</v>
      </c>
      <c r="C51" s="48">
        <v>1200</v>
      </c>
      <c r="D51" s="49">
        <v>20</v>
      </c>
      <c r="E51" s="49">
        <f>+C51*D51</f>
        <v>24000</v>
      </c>
      <c r="F51" s="50" t="s">
        <v>50</v>
      </c>
      <c r="G51" s="1" t="s">
        <v>61</v>
      </c>
      <c r="H51" s="1"/>
    </row>
    <row r="52" spans="1:8" ht="57" thickBot="1" x14ac:dyDescent="0.3">
      <c r="A52" s="71" t="s">
        <v>92</v>
      </c>
      <c r="B52" s="72" t="s">
        <v>81</v>
      </c>
      <c r="C52" s="72">
        <v>5</v>
      </c>
      <c r="D52" s="58">
        <v>8000</v>
      </c>
      <c r="E52" s="49">
        <f>+C52*D52</f>
        <v>40000</v>
      </c>
      <c r="F52" s="50" t="s">
        <v>56</v>
      </c>
      <c r="G52" s="51"/>
      <c r="H52" s="46"/>
    </row>
    <row r="53" spans="1:8" ht="15.75" thickBot="1" x14ac:dyDescent="0.3">
      <c r="A53" s="487" t="s">
        <v>6</v>
      </c>
      <c r="B53" s="488"/>
      <c r="C53" s="488"/>
      <c r="D53" s="489"/>
      <c r="E53" s="63">
        <f>SUM(E51:E52)</f>
        <v>64000</v>
      </c>
      <c r="F53" s="50"/>
      <c r="G53" s="52"/>
      <c r="H53" s="25" t="str">
        <f>IF(F53=0," ",VLOOKUP(F53,[3]Sheet1!$A$1:$B$8,2,FALSE))</f>
        <v xml:space="preserve"> </v>
      </c>
    </row>
    <row r="54" spans="1:8" ht="15.75" thickBot="1" x14ac:dyDescent="0.3">
      <c r="A54" s="493" t="s">
        <v>11</v>
      </c>
      <c r="B54" s="494"/>
      <c r="C54" s="494"/>
      <c r="D54" s="495"/>
      <c r="E54" s="53">
        <f>+E24+E45+E49+E53</f>
        <v>4000000</v>
      </c>
      <c r="F54" s="52"/>
      <c r="G54" s="52"/>
      <c r="H54" s="38"/>
    </row>
    <row r="55" spans="1:8" ht="15.75" thickBot="1" x14ac:dyDescent="0.3">
      <c r="A55" s="496" t="s">
        <v>12</v>
      </c>
      <c r="B55" s="497"/>
      <c r="C55" s="497"/>
      <c r="D55" s="497"/>
      <c r="E55" s="497"/>
      <c r="F55" s="497"/>
      <c r="G55" s="498"/>
      <c r="H55" s="39"/>
    </row>
    <row r="56" spans="1:8" ht="45.75" thickBot="1" x14ac:dyDescent="0.3">
      <c r="A56" s="493" t="s">
        <v>13</v>
      </c>
      <c r="B56" s="494"/>
      <c r="C56" s="494"/>
      <c r="D56" s="495"/>
      <c r="E56" s="66"/>
      <c r="F56" s="52"/>
      <c r="G56" s="52"/>
      <c r="H56" s="40" t="s">
        <v>40</v>
      </c>
    </row>
    <row r="57" spans="1:8" ht="15.75" thickBot="1" x14ac:dyDescent="0.3">
      <c r="A57" s="483" t="s">
        <v>22</v>
      </c>
      <c r="B57" s="484"/>
      <c r="C57" s="484"/>
      <c r="D57" s="485"/>
      <c r="E57" s="65">
        <f>+E56+E54</f>
        <v>4000000</v>
      </c>
      <c r="F57" s="52"/>
      <c r="G57" s="52"/>
      <c r="H57" s="41"/>
    </row>
    <row r="58" spans="1:8" s="15" customFormat="1" ht="15.75" thickBot="1" x14ac:dyDescent="0.3">
      <c r="F58" s="78"/>
      <c r="H58" s="29"/>
    </row>
    <row r="59" spans="1:8" ht="18" customHeight="1" thickBot="1" x14ac:dyDescent="0.3">
      <c r="A59" s="486" t="s">
        <v>19</v>
      </c>
      <c r="B59" s="486"/>
      <c r="C59" s="486"/>
      <c r="D59" s="486"/>
      <c r="E59" s="96">
        <f>E24</f>
        <v>279972</v>
      </c>
      <c r="F59" s="15"/>
      <c r="G59" s="15"/>
      <c r="H59" s="29"/>
    </row>
    <row r="60" spans="1:8" ht="15.75" thickBot="1" x14ac:dyDescent="0.3">
      <c r="A60" s="486" t="s">
        <v>20</v>
      </c>
      <c r="B60" s="486"/>
      <c r="C60" s="486"/>
      <c r="D60" s="486"/>
      <c r="E60" s="94">
        <f>E45+E49+E53</f>
        <v>3720028</v>
      </c>
      <c r="F60" s="15"/>
      <c r="G60" s="15"/>
      <c r="H60" s="29"/>
    </row>
    <row r="61" spans="1:8" s="15" customFormat="1" x14ac:dyDescent="0.25">
      <c r="H61" s="29"/>
    </row>
    <row r="62" spans="1:8" s="15" customFormat="1" ht="15.75" thickBot="1" x14ac:dyDescent="0.3">
      <c r="H62" s="29"/>
    </row>
    <row r="63" spans="1:8" s="15" customFormat="1" ht="23.25" thickBot="1" x14ac:dyDescent="0.3">
      <c r="A63" s="21" t="s">
        <v>35</v>
      </c>
      <c r="B63" s="19" t="s">
        <v>27</v>
      </c>
      <c r="C63" s="19" t="s">
        <v>28</v>
      </c>
      <c r="D63" s="19" t="s">
        <v>29</v>
      </c>
      <c r="E63" s="19" t="s">
        <v>30</v>
      </c>
      <c r="F63" s="19" t="s">
        <v>31</v>
      </c>
      <c r="G63" s="19" t="s">
        <v>25</v>
      </c>
      <c r="H63" s="42" t="s">
        <v>26</v>
      </c>
    </row>
    <row r="64" spans="1:8" s="15" customFormat="1" ht="15.75" thickBot="1" x14ac:dyDescent="0.3">
      <c r="A64" s="456" t="s">
        <v>50</v>
      </c>
      <c r="B64" s="47">
        <f>+E13+E14+E15+E16+E17+E18+E19+E21</f>
        <v>261972</v>
      </c>
      <c r="C64" s="47">
        <f>+E27+E28+E30+E31+E32+E33+E34+E35+E36+E37+E38</f>
        <v>879800</v>
      </c>
      <c r="D64" s="47">
        <f>+E47</f>
        <v>2040</v>
      </c>
      <c r="E64" s="47">
        <f>+E51</f>
        <v>24000</v>
      </c>
      <c r="F64" s="4"/>
      <c r="G64" s="296">
        <f>SUM(B64:F64)</f>
        <v>1167812</v>
      </c>
      <c r="H64" s="69">
        <f>+G64/$G$73</f>
        <v>0.29195300000000002</v>
      </c>
    </row>
    <row r="65" spans="1:8" s="15" customFormat="1" ht="23.25" thickBot="1" x14ac:dyDescent="0.3">
      <c r="A65" s="456" t="s">
        <v>51</v>
      </c>
      <c r="B65" s="47">
        <f>+E20</f>
        <v>15000</v>
      </c>
      <c r="C65" s="47">
        <f>+E29</f>
        <v>14184</v>
      </c>
      <c r="D65" s="47">
        <f>+E48</f>
        <v>11156</v>
      </c>
      <c r="E65" s="47"/>
      <c r="F65" s="4"/>
      <c r="G65" s="296">
        <f t="shared" ref="G65:G71" si="3">SUM(B65:F65)</f>
        <v>40340</v>
      </c>
      <c r="H65" s="69">
        <f t="shared" ref="H65:H72" si="4">+G65/$G$73</f>
        <v>1.0085E-2</v>
      </c>
    </row>
    <row r="66" spans="1:8" s="15" customFormat="1" ht="23.25" thickBot="1" x14ac:dyDescent="0.3">
      <c r="A66" s="456" t="s">
        <v>52</v>
      </c>
      <c r="B66" s="47">
        <f>+E23</f>
        <v>0</v>
      </c>
      <c r="C66" s="47"/>
      <c r="D66" s="47"/>
      <c r="E66" s="47"/>
      <c r="F66" s="4"/>
      <c r="G66" s="68">
        <f t="shared" si="3"/>
        <v>0</v>
      </c>
      <c r="H66" s="69">
        <f t="shared" si="4"/>
        <v>0</v>
      </c>
    </row>
    <row r="67" spans="1:8" s="15" customFormat="1" ht="23.25" thickBot="1" x14ac:dyDescent="0.3">
      <c r="A67" s="456" t="s">
        <v>53</v>
      </c>
      <c r="B67" s="47"/>
      <c r="C67" s="47">
        <f>+E43</f>
        <v>40000</v>
      </c>
      <c r="D67" s="47"/>
      <c r="E67" s="47"/>
      <c r="F67" s="4"/>
      <c r="G67" s="68">
        <f t="shared" si="3"/>
        <v>40000</v>
      </c>
      <c r="H67" s="69">
        <f t="shared" si="4"/>
        <v>0.01</v>
      </c>
    </row>
    <row r="68" spans="1:8" s="15" customFormat="1" ht="23.25" thickBot="1" x14ac:dyDescent="0.3">
      <c r="A68" s="456" t="s">
        <v>54</v>
      </c>
      <c r="B68" s="47"/>
      <c r="C68" s="47"/>
      <c r="D68" s="47"/>
      <c r="E68" s="47"/>
      <c r="F68" s="4"/>
      <c r="G68" s="68">
        <f t="shared" si="3"/>
        <v>0</v>
      </c>
      <c r="H68" s="69">
        <f t="shared" si="4"/>
        <v>0</v>
      </c>
    </row>
    <row r="69" spans="1:8" s="15" customFormat="1" ht="15.75" thickBot="1" x14ac:dyDescent="0.3">
      <c r="A69" s="456" t="s">
        <v>55</v>
      </c>
      <c r="B69" s="47">
        <f>+E22</f>
        <v>3000</v>
      </c>
      <c r="C69" s="47">
        <f>+E44+E42</f>
        <v>309600</v>
      </c>
      <c r="D69" s="47"/>
      <c r="E69" s="47"/>
      <c r="F69" s="4"/>
      <c r="G69" s="68">
        <f t="shared" si="3"/>
        <v>312600</v>
      </c>
      <c r="H69" s="69">
        <f t="shared" si="4"/>
        <v>7.8149999999999997E-2</v>
      </c>
    </row>
    <row r="70" spans="1:8" s="15" customFormat="1" ht="23.25" thickBot="1" x14ac:dyDescent="0.3">
      <c r="A70" s="456" t="s">
        <v>56</v>
      </c>
      <c r="B70" s="47"/>
      <c r="C70" s="47">
        <f>+E26+E39+E40+E41</f>
        <v>2399248</v>
      </c>
      <c r="D70" s="47"/>
      <c r="E70" s="47">
        <f>+E52</f>
        <v>40000</v>
      </c>
      <c r="F70" s="4"/>
      <c r="G70" s="68">
        <f t="shared" si="3"/>
        <v>2439248</v>
      </c>
      <c r="H70" s="69">
        <f t="shared" si="4"/>
        <v>0.60981200000000002</v>
      </c>
    </row>
    <row r="71" spans="1:8" s="15" customFormat="1" ht="23.25" thickBot="1" x14ac:dyDescent="0.3">
      <c r="A71" s="456" t="s">
        <v>57</v>
      </c>
      <c r="B71" s="47"/>
      <c r="C71" s="47"/>
      <c r="D71" s="47"/>
      <c r="E71" s="47"/>
      <c r="F71" s="4"/>
      <c r="G71" s="68">
        <f t="shared" si="3"/>
        <v>0</v>
      </c>
      <c r="H71" s="69">
        <f t="shared" si="4"/>
        <v>0</v>
      </c>
    </row>
    <row r="72" spans="1:8" s="15" customFormat="1" ht="15.75" thickBot="1" x14ac:dyDescent="0.3">
      <c r="A72" s="456" t="s">
        <v>32</v>
      </c>
      <c r="B72" s="47"/>
      <c r="C72" s="47"/>
      <c r="D72" s="47"/>
      <c r="E72" s="47"/>
      <c r="F72" s="4"/>
      <c r="G72" s="68">
        <f>+E56</f>
        <v>0</v>
      </c>
      <c r="H72" s="69">
        <f t="shared" si="4"/>
        <v>0</v>
      </c>
    </row>
    <row r="73" spans="1:8" s="15" customFormat="1" ht="15.75" thickBot="1" x14ac:dyDescent="0.3">
      <c r="A73" s="19" t="s">
        <v>33</v>
      </c>
      <c r="B73" s="67">
        <f>SUM(B64:B72)</f>
        <v>279972</v>
      </c>
      <c r="C73" s="67">
        <f t="shared" ref="C73:F73" si="5">SUM(C64:C72)</f>
        <v>3642832</v>
      </c>
      <c r="D73" s="67">
        <f t="shared" si="5"/>
        <v>13196</v>
      </c>
      <c r="E73" s="67">
        <f t="shared" si="5"/>
        <v>64000</v>
      </c>
      <c r="F73" s="67">
        <f t="shared" si="5"/>
        <v>0</v>
      </c>
      <c r="G73" s="67">
        <f>SUM(G64:G72)</f>
        <v>4000000</v>
      </c>
      <c r="H73" s="70">
        <f>SUM(H64:H72)</f>
        <v>1</v>
      </c>
    </row>
    <row r="74" spans="1:8" s="15" customFormat="1" ht="15.75" thickBot="1" x14ac:dyDescent="0.3">
      <c r="A74" s="19" t="s">
        <v>34</v>
      </c>
      <c r="B74" s="98">
        <f>B73/G73</f>
        <v>6.9993E-2</v>
      </c>
      <c r="C74" s="98">
        <f>C73/G73</f>
        <v>0.91070799999999996</v>
      </c>
      <c r="D74" s="98">
        <f>D73/G73</f>
        <v>3.2989999999999998E-3</v>
      </c>
      <c r="E74" s="98">
        <f>E73/G73</f>
        <v>1.6E-2</v>
      </c>
      <c r="F74" s="98">
        <f>F73/G73</f>
        <v>0</v>
      </c>
      <c r="G74" s="98">
        <f>G73/G73</f>
        <v>1</v>
      </c>
      <c r="H74" s="43"/>
    </row>
    <row r="75" spans="1:8" s="15" customFormat="1" x14ac:dyDescent="0.25">
      <c r="A75" s="20"/>
      <c r="B75" s="20"/>
      <c r="C75" s="20"/>
      <c r="D75" s="20"/>
      <c r="E75" s="20"/>
      <c r="F75" s="20"/>
      <c r="G75" s="20"/>
      <c r="H75" s="44"/>
    </row>
    <row r="76" spans="1:8" s="15" customFormat="1" x14ac:dyDescent="0.25">
      <c r="H76" s="29"/>
    </row>
    <row r="77" spans="1:8" s="15" customFormat="1" x14ac:dyDescent="0.25">
      <c r="C77" s="78"/>
      <c r="D77" s="283"/>
      <c r="H77" s="29"/>
    </row>
    <row r="78" spans="1:8" s="15" customFormat="1" x14ac:dyDescent="0.25">
      <c r="A78" s="292" t="s">
        <v>538</v>
      </c>
      <c r="B78" s="294">
        <f>(E24+E28+E29+E30+E31+E32+E33+E34+E35+E36+E37+E38+E39+E47+E48+E51+E52+E40)</f>
        <v>1938752</v>
      </c>
      <c r="H78" s="29"/>
    </row>
    <row r="79" spans="1:8" s="15" customFormat="1" x14ac:dyDescent="0.25">
      <c r="A79" s="292" t="s">
        <v>539</v>
      </c>
      <c r="B79" s="294">
        <v>0</v>
      </c>
      <c r="H79" s="29"/>
    </row>
    <row r="80" spans="1:8" s="15" customFormat="1" x14ac:dyDescent="0.25">
      <c r="A80" s="293" t="s">
        <v>34</v>
      </c>
      <c r="B80" s="295">
        <f>(B78+B79)/E57</f>
        <v>0.48468800000000001</v>
      </c>
      <c r="H80" s="29"/>
    </row>
    <row r="81" spans="8:8" s="15" customFormat="1" x14ac:dyDescent="0.25">
      <c r="H81" s="29"/>
    </row>
    <row r="82" spans="8:8" s="15" customFormat="1" x14ac:dyDescent="0.25">
      <c r="H82" s="29"/>
    </row>
    <row r="83" spans="8:8" s="15" customFormat="1" x14ac:dyDescent="0.25">
      <c r="H83" s="29"/>
    </row>
    <row r="84" spans="8:8" s="15" customFormat="1" x14ac:dyDescent="0.25">
      <c r="H84" s="29"/>
    </row>
    <row r="85" spans="8:8" s="15" customFormat="1" x14ac:dyDescent="0.25">
      <c r="H85" s="29"/>
    </row>
    <row r="86" spans="8:8" s="15" customFormat="1" x14ac:dyDescent="0.25">
      <c r="H86" s="29"/>
    </row>
    <row r="87" spans="8:8" s="15" customFormat="1" x14ac:dyDescent="0.25">
      <c r="H87" s="29"/>
    </row>
    <row r="88" spans="8:8" s="15" customFormat="1" x14ac:dyDescent="0.25">
      <c r="H88" s="29"/>
    </row>
    <row r="89" spans="8:8" x14ac:dyDescent="0.25"/>
    <row r="90" spans="8:8" x14ac:dyDescent="0.25"/>
    <row r="91" spans="8:8" x14ac:dyDescent="0.25"/>
    <row r="92" spans="8:8" x14ac:dyDescent="0.25"/>
    <row r="93" spans="8:8" x14ac:dyDescent="0.25"/>
    <row r="94" spans="8:8" x14ac:dyDescent="0.25"/>
    <row r="95" spans="8:8" x14ac:dyDescent="0.25"/>
    <row r="96" spans="8:8"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sheetData>
  <mergeCells count="21">
    <mergeCell ref="A46:G46"/>
    <mergeCell ref="B3:G3"/>
    <mergeCell ref="B4:G4"/>
    <mergeCell ref="B5:G5"/>
    <mergeCell ref="B6:G6"/>
    <mergeCell ref="B7:G7"/>
    <mergeCell ref="B8:G8"/>
    <mergeCell ref="A11:G11"/>
    <mergeCell ref="A12:G12"/>
    <mergeCell ref="A24:D24"/>
    <mergeCell ref="A25:G25"/>
    <mergeCell ref="A45:D45"/>
    <mergeCell ref="A57:D57"/>
    <mergeCell ref="A59:D59"/>
    <mergeCell ref="A60:D60"/>
    <mergeCell ref="A49:D49"/>
    <mergeCell ref="A50:G50"/>
    <mergeCell ref="A53:D53"/>
    <mergeCell ref="A54:D54"/>
    <mergeCell ref="A55:G55"/>
    <mergeCell ref="A56:D56"/>
  </mergeCells>
  <pageMargins left="0.70866141732283472" right="0.70866141732283472" top="0.74803149606299213" bottom="0.74803149606299213" header="0.31496062992125984" footer="0.31496062992125984"/>
  <pageSetup paperSize="9" scale="66" orientation="landscape" r:id="rId1"/>
  <rowBreaks count="2" manualBreakCount="2">
    <brk id="48" max="10" man="1"/>
    <brk id="74" max="7"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[3]Sheet1!#REF!</xm:f>
          </x14:formula1>
          <xm:sqref>F51:F53 F47:F49 F26:F45 F13:F24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5" zoomScaleNormal="145" workbookViewId="0">
      <selection activeCell="I17" sqref="I17:I18"/>
    </sheetView>
  </sheetViews>
  <sheetFormatPr defaultRowHeight="15" x14ac:dyDescent="0.25"/>
  <cols>
    <col min="1" max="1" width="41" customWidth="1"/>
    <col min="2" max="4" width="10.5703125" customWidth="1"/>
    <col min="5" max="5" width="16.140625" customWidth="1"/>
    <col min="6" max="6" width="10.85546875" customWidth="1"/>
    <col min="7" max="7" width="20.140625" customWidth="1"/>
    <col min="8" max="8" width="10.85546875" customWidth="1"/>
  </cols>
  <sheetData>
    <row r="1" spans="1:8" x14ac:dyDescent="0.25">
      <c r="A1" s="13" t="s">
        <v>17</v>
      </c>
      <c r="B1" s="14"/>
      <c r="C1" s="14"/>
      <c r="D1" s="15"/>
      <c r="E1" s="15"/>
      <c r="F1" s="15"/>
      <c r="G1" s="15"/>
      <c r="H1" s="29"/>
    </row>
    <row r="2" spans="1:8" ht="15.75" thickBot="1" x14ac:dyDescent="0.3">
      <c r="A2" s="15"/>
      <c r="B2" s="15"/>
      <c r="C2" s="15"/>
      <c r="D2" s="15"/>
      <c r="E2" s="15"/>
      <c r="F2" s="15"/>
      <c r="G2" s="15"/>
      <c r="H2" s="29"/>
    </row>
    <row r="3" spans="1:8" ht="15.75" thickBot="1" x14ac:dyDescent="0.3">
      <c r="A3" s="7" t="s">
        <v>7</v>
      </c>
      <c r="B3" s="499" t="s">
        <v>171</v>
      </c>
      <c r="C3" s="500"/>
      <c r="D3" s="500"/>
      <c r="E3" s="500"/>
      <c r="F3" s="500"/>
      <c r="G3" s="501"/>
      <c r="H3" s="30"/>
    </row>
    <row r="4" spans="1:8" ht="30" customHeight="1" thickBot="1" x14ac:dyDescent="0.3">
      <c r="A4" s="8" t="s">
        <v>15</v>
      </c>
      <c r="B4" s="566" t="s">
        <v>319</v>
      </c>
      <c r="C4" s="567"/>
      <c r="D4" s="567"/>
      <c r="E4" s="567"/>
      <c r="F4" s="567"/>
      <c r="G4" s="568"/>
      <c r="H4" s="30"/>
    </row>
    <row r="5" spans="1:8" ht="15.75" thickBot="1" x14ac:dyDescent="0.3">
      <c r="A5" s="8" t="s">
        <v>8</v>
      </c>
      <c r="B5" s="499" t="s">
        <v>320</v>
      </c>
      <c r="C5" s="500"/>
      <c r="D5" s="500"/>
      <c r="E5" s="500"/>
      <c r="F5" s="500"/>
      <c r="G5" s="501"/>
      <c r="H5" s="30"/>
    </row>
    <row r="6" spans="1:8" ht="15.75" thickBot="1" x14ac:dyDescent="0.3">
      <c r="A6" s="8" t="s">
        <v>16</v>
      </c>
      <c r="B6" s="595">
        <v>630000</v>
      </c>
      <c r="C6" s="540"/>
      <c r="D6" s="540"/>
      <c r="E6" s="540"/>
      <c r="F6" s="540"/>
      <c r="G6" s="541"/>
      <c r="H6" s="31"/>
    </row>
    <row r="7" spans="1:8" ht="15.75" thickBot="1" x14ac:dyDescent="0.3">
      <c r="A7" s="8" t="s">
        <v>2</v>
      </c>
      <c r="B7" s="596">
        <v>1</v>
      </c>
      <c r="C7" s="509"/>
      <c r="D7" s="509"/>
      <c r="E7" s="509"/>
      <c r="F7" s="509"/>
      <c r="G7" s="510"/>
      <c r="H7" s="32"/>
    </row>
    <row r="8" spans="1:8" ht="15.75" thickBot="1" x14ac:dyDescent="0.3">
      <c r="A8" s="8" t="s">
        <v>9</v>
      </c>
      <c r="B8" s="508" t="s">
        <v>203</v>
      </c>
      <c r="C8" s="509"/>
      <c r="D8" s="509"/>
      <c r="E8" s="509"/>
      <c r="F8" s="509"/>
      <c r="G8" s="510"/>
      <c r="H8" s="32"/>
    </row>
    <row r="9" spans="1:8" ht="15.75" thickBot="1" x14ac:dyDescent="0.3">
      <c r="A9" s="23"/>
      <c r="B9" s="24"/>
      <c r="C9" s="22"/>
      <c r="D9" s="22"/>
      <c r="E9" s="22"/>
      <c r="F9" s="22"/>
      <c r="G9" s="22"/>
      <c r="H9" s="33"/>
    </row>
    <row r="10" spans="1:8" ht="34.5" thickBot="1" x14ac:dyDescent="0.3">
      <c r="A10" s="28"/>
      <c r="B10" s="26" t="s">
        <v>0</v>
      </c>
      <c r="C10" s="26" t="s">
        <v>14</v>
      </c>
      <c r="D10" s="26" t="s">
        <v>23</v>
      </c>
      <c r="E10" s="26" t="s">
        <v>18</v>
      </c>
      <c r="F10" s="26" t="s">
        <v>10</v>
      </c>
      <c r="G10" s="27" t="s">
        <v>1</v>
      </c>
      <c r="H10" s="34" t="s">
        <v>36</v>
      </c>
    </row>
    <row r="11" spans="1:8" ht="15.75" thickBot="1" x14ac:dyDescent="0.3">
      <c r="A11" s="511" t="s">
        <v>21</v>
      </c>
      <c r="B11" s="512"/>
      <c r="C11" s="512"/>
      <c r="D11" s="512"/>
      <c r="E11" s="512"/>
      <c r="F11" s="512"/>
      <c r="G11" s="513"/>
      <c r="H11" s="35"/>
    </row>
    <row r="12" spans="1:8" ht="15.75" thickBot="1" x14ac:dyDescent="0.3">
      <c r="A12" s="514" t="s">
        <v>24</v>
      </c>
      <c r="B12" s="515"/>
      <c r="C12" s="515"/>
      <c r="D12" s="515"/>
      <c r="E12" s="515"/>
      <c r="F12" s="515"/>
      <c r="G12" s="516"/>
      <c r="H12" s="36"/>
    </row>
    <row r="13" spans="1:8" ht="15.75" thickBot="1" x14ac:dyDescent="0.3">
      <c r="A13" s="195" t="s">
        <v>321</v>
      </c>
      <c r="B13" s="196" t="s">
        <v>322</v>
      </c>
      <c r="C13" s="196">
        <v>36</v>
      </c>
      <c r="D13" s="197">
        <v>280</v>
      </c>
      <c r="E13" s="197">
        <f>SUM(C13*D13)</f>
        <v>10080</v>
      </c>
      <c r="F13" s="198"/>
      <c r="G13" s="199"/>
      <c r="H13" s="200" t="str">
        <f>IF(F13=0,"  ",VLOOKUP(F13,[15]Sheet1!$A$1:$B$8,2,FALSE))</f>
        <v xml:space="preserve">  </v>
      </c>
    </row>
    <row r="14" spans="1:8" ht="15.75" thickBot="1" x14ac:dyDescent="0.3">
      <c r="A14" s="195" t="s">
        <v>323</v>
      </c>
      <c r="B14" s="196" t="s">
        <v>322</v>
      </c>
      <c r="C14" s="196">
        <v>36</v>
      </c>
      <c r="D14" s="197">
        <v>280</v>
      </c>
      <c r="E14" s="197">
        <f>SUM(C14*D14)</f>
        <v>10080</v>
      </c>
      <c r="F14" s="198"/>
      <c r="G14" s="199"/>
      <c r="H14" s="200"/>
    </row>
    <row r="15" spans="1:8" ht="15.75" thickBot="1" x14ac:dyDescent="0.3">
      <c r="A15" s="201" t="s">
        <v>324</v>
      </c>
      <c r="B15" s="196" t="s">
        <v>325</v>
      </c>
      <c r="C15" s="196">
        <v>36</v>
      </c>
      <c r="D15" s="197">
        <v>200</v>
      </c>
      <c r="E15" s="197">
        <f>SUM(C15*D15)</f>
        <v>7200</v>
      </c>
      <c r="F15" s="198"/>
      <c r="G15" s="199"/>
      <c r="H15" s="200"/>
    </row>
    <row r="16" spans="1:8" ht="15.75" thickBot="1" x14ac:dyDescent="0.3">
      <c r="A16" s="201" t="s">
        <v>326</v>
      </c>
      <c r="B16" s="196" t="s">
        <v>322</v>
      </c>
      <c r="C16" s="196">
        <v>36</v>
      </c>
      <c r="D16" s="197">
        <v>230</v>
      </c>
      <c r="E16" s="197">
        <f>SUM(C16*D16)</f>
        <v>8280</v>
      </c>
      <c r="F16" s="198"/>
      <c r="G16" s="199"/>
      <c r="H16" s="200"/>
    </row>
    <row r="17" spans="1:8" ht="15.75" thickBot="1" x14ac:dyDescent="0.3">
      <c r="A17" s="202" t="s">
        <v>327</v>
      </c>
      <c r="B17" s="196" t="s">
        <v>322</v>
      </c>
      <c r="C17" s="196">
        <v>36</v>
      </c>
      <c r="D17" s="197">
        <v>230</v>
      </c>
      <c r="E17" s="197">
        <f>SUM(C17*D17)</f>
        <v>8280</v>
      </c>
      <c r="F17" s="198"/>
      <c r="G17" s="199"/>
      <c r="H17" s="200"/>
    </row>
    <row r="18" spans="1:8" ht="15.75" thickBot="1" x14ac:dyDescent="0.3">
      <c r="A18" s="597" t="s">
        <v>328</v>
      </c>
      <c r="B18" s="598"/>
      <c r="C18" s="598"/>
      <c r="D18" s="599"/>
      <c r="E18" s="203">
        <f>SUM(E13:E17)</f>
        <v>43920</v>
      </c>
      <c r="F18" s="198"/>
      <c r="G18" s="204"/>
      <c r="H18" s="200" t="str">
        <f>IF(F18=0," ",VLOOKUP(F18,[15]Sheet1!$A$1:$B$8,2,FALSE))</f>
        <v xml:space="preserve"> </v>
      </c>
    </row>
    <row r="19" spans="1:8" ht="36.75" customHeight="1" thickBot="1" x14ac:dyDescent="0.3">
      <c r="A19" s="520" t="s">
        <v>329</v>
      </c>
      <c r="B19" s="521"/>
      <c r="C19" s="521"/>
      <c r="D19" s="521"/>
      <c r="E19" s="521"/>
      <c r="F19" s="521"/>
      <c r="G19" s="522"/>
      <c r="H19" s="37"/>
    </row>
    <row r="20" spans="1:8" ht="15.75" thickBot="1" x14ac:dyDescent="0.3">
      <c r="A20" s="205" t="s">
        <v>330</v>
      </c>
      <c r="B20" s="196" t="s">
        <v>322</v>
      </c>
      <c r="C20" s="196">
        <v>10</v>
      </c>
      <c r="D20" s="197">
        <v>2800</v>
      </c>
      <c r="E20" s="197">
        <f t="shared" ref="E20:E28" si="0">SUM(C20*D20)</f>
        <v>28000</v>
      </c>
      <c r="F20" s="198"/>
      <c r="G20" s="199"/>
      <c r="H20" s="200" t="str">
        <f>IF(F20=0," ",VLOOKUP(F20,[15]Sheet1!$A$1:$B$8,2,FALSE))</f>
        <v xml:space="preserve"> </v>
      </c>
    </row>
    <row r="21" spans="1:8" ht="15.75" thickBot="1" x14ac:dyDescent="0.3">
      <c r="A21" s="175" t="s">
        <v>331</v>
      </c>
      <c r="B21" s="196" t="s">
        <v>212</v>
      </c>
      <c r="C21" s="196">
        <v>30</v>
      </c>
      <c r="D21" s="197">
        <v>350</v>
      </c>
      <c r="E21" s="197">
        <f t="shared" si="0"/>
        <v>10500</v>
      </c>
      <c r="F21" s="198"/>
      <c r="G21" s="206" t="s">
        <v>332</v>
      </c>
      <c r="H21" s="200" t="str">
        <f>IF(F21=0," ",VLOOKUP(F21,[15]Sheet1!$A$1:$B$8,2,FALSE))</f>
        <v xml:space="preserve"> </v>
      </c>
    </row>
    <row r="22" spans="1:8" ht="15.75" thickBot="1" x14ac:dyDescent="0.3">
      <c r="A22" s="175" t="s">
        <v>333</v>
      </c>
      <c r="B22" s="196" t="s">
        <v>214</v>
      </c>
      <c r="C22" s="196">
        <v>6</v>
      </c>
      <c r="D22" s="197">
        <v>700</v>
      </c>
      <c r="E22" s="197">
        <f t="shared" si="0"/>
        <v>4200</v>
      </c>
      <c r="F22" s="198"/>
      <c r="G22" s="206"/>
      <c r="H22" s="200"/>
    </row>
    <row r="23" spans="1:8" ht="15.75" thickBot="1" x14ac:dyDescent="0.3">
      <c r="A23" s="175" t="s">
        <v>334</v>
      </c>
      <c r="B23" s="196" t="s">
        <v>212</v>
      </c>
      <c r="C23" s="196">
        <v>9</v>
      </c>
      <c r="D23" s="197">
        <v>175</v>
      </c>
      <c r="E23" s="197">
        <f t="shared" si="0"/>
        <v>1575</v>
      </c>
      <c r="F23" s="198"/>
      <c r="G23" s="206"/>
      <c r="H23" s="200"/>
    </row>
    <row r="24" spans="1:8" ht="15.75" thickBot="1" x14ac:dyDescent="0.3">
      <c r="A24" s="175" t="s">
        <v>335</v>
      </c>
      <c r="B24" s="196" t="s">
        <v>214</v>
      </c>
      <c r="C24" s="196">
        <v>50</v>
      </c>
      <c r="D24" s="197">
        <v>25</v>
      </c>
      <c r="E24" s="197">
        <f t="shared" si="0"/>
        <v>1250</v>
      </c>
      <c r="F24" s="198"/>
      <c r="G24" s="206"/>
      <c r="H24" s="200"/>
    </row>
    <row r="25" spans="1:8" ht="34.5" thickBot="1" x14ac:dyDescent="0.3">
      <c r="A25" s="175" t="s">
        <v>336</v>
      </c>
      <c r="B25" s="196" t="s">
        <v>337</v>
      </c>
      <c r="C25" s="196">
        <v>174</v>
      </c>
      <c r="D25" s="197">
        <v>120</v>
      </c>
      <c r="E25" s="197">
        <f t="shared" si="0"/>
        <v>20880</v>
      </c>
      <c r="F25" s="198"/>
      <c r="G25" s="207" t="s">
        <v>338</v>
      </c>
      <c r="H25" s="200"/>
    </row>
    <row r="26" spans="1:8" ht="15.75" thickBot="1" x14ac:dyDescent="0.3">
      <c r="A26" s="168" t="s">
        <v>339</v>
      </c>
      <c r="B26" s="208" t="s">
        <v>340</v>
      </c>
      <c r="C26" s="208">
        <v>30</v>
      </c>
      <c r="D26" s="197">
        <v>7</v>
      </c>
      <c r="E26" s="197">
        <f t="shared" si="0"/>
        <v>210</v>
      </c>
      <c r="F26" s="198"/>
      <c r="G26" s="206" t="s">
        <v>341</v>
      </c>
      <c r="H26" s="200"/>
    </row>
    <row r="27" spans="1:8" ht="15.75" thickBot="1" x14ac:dyDescent="0.3">
      <c r="A27" s="168" t="s">
        <v>342</v>
      </c>
      <c r="B27" s="208" t="s">
        <v>212</v>
      </c>
      <c r="C27" s="208">
        <v>12</v>
      </c>
      <c r="D27" s="197">
        <v>200</v>
      </c>
      <c r="E27" s="197">
        <f t="shared" si="0"/>
        <v>2400</v>
      </c>
      <c r="F27" s="198"/>
      <c r="G27" s="206"/>
      <c r="H27" s="200"/>
    </row>
    <row r="28" spans="1:8" ht="15.75" thickBot="1" x14ac:dyDescent="0.3">
      <c r="A28" s="168" t="s">
        <v>343</v>
      </c>
      <c r="B28" s="208" t="s">
        <v>344</v>
      </c>
      <c r="C28" s="208">
        <v>200</v>
      </c>
      <c r="D28" s="209">
        <v>25</v>
      </c>
      <c r="E28" s="197">
        <f t="shared" si="0"/>
        <v>5000</v>
      </c>
      <c r="F28" s="198"/>
      <c r="G28" s="206"/>
      <c r="H28" s="200"/>
    </row>
    <row r="29" spans="1:8" ht="15.75" thickBot="1" x14ac:dyDescent="0.3">
      <c r="A29" s="168" t="s">
        <v>345</v>
      </c>
      <c r="B29" s="208" t="s">
        <v>346</v>
      </c>
      <c r="C29" s="208"/>
      <c r="D29" s="209">
        <v>9305</v>
      </c>
      <c r="E29" s="197">
        <v>9305</v>
      </c>
      <c r="F29" s="198"/>
      <c r="G29" s="206"/>
      <c r="H29" s="200"/>
    </row>
    <row r="30" spans="1:8" ht="15.75" thickBot="1" x14ac:dyDescent="0.3">
      <c r="A30" s="168" t="s">
        <v>347</v>
      </c>
      <c r="B30" s="208" t="s">
        <v>346</v>
      </c>
      <c r="C30" s="208"/>
      <c r="D30" s="209">
        <v>11000</v>
      </c>
      <c r="E30" s="197">
        <v>11000</v>
      </c>
      <c r="F30" s="198"/>
      <c r="G30" s="206"/>
      <c r="H30" s="200"/>
    </row>
    <row r="31" spans="1:8" ht="15.75" thickBot="1" x14ac:dyDescent="0.3">
      <c r="A31" s="517" t="s">
        <v>348</v>
      </c>
      <c r="B31" s="518"/>
      <c r="C31" s="518"/>
      <c r="D31" s="523"/>
      <c r="E31" s="102">
        <f>SUM(E20:E30)</f>
        <v>94320</v>
      </c>
      <c r="F31" s="12"/>
      <c r="G31" s="93"/>
      <c r="H31" s="25" t="str">
        <f>IF(F31=0," ",VLOOKUP(F31,[15]Sheet1!$A$1:$B$8,2,FALSE))</f>
        <v xml:space="preserve"> </v>
      </c>
    </row>
    <row r="32" spans="1:8" ht="23.25" customHeight="1" thickBot="1" x14ac:dyDescent="0.3">
      <c r="A32" s="520" t="s">
        <v>756</v>
      </c>
      <c r="B32" s="521"/>
      <c r="C32" s="521"/>
      <c r="D32" s="521"/>
      <c r="E32" s="521"/>
      <c r="F32" s="521"/>
      <c r="G32" s="522"/>
      <c r="H32" s="37"/>
    </row>
    <row r="33" spans="1:8" ht="23.25" thickBot="1" x14ac:dyDescent="0.3">
      <c r="A33" s="175" t="s">
        <v>349</v>
      </c>
      <c r="B33" s="196" t="s">
        <v>214</v>
      </c>
      <c r="C33" s="196">
        <v>90</v>
      </c>
      <c r="D33" s="197">
        <v>25</v>
      </c>
      <c r="E33" s="197">
        <f t="shared" ref="E33:E40" si="1">SUM(C33*D33)</f>
        <v>2250</v>
      </c>
      <c r="F33" s="198"/>
      <c r="G33" s="206"/>
      <c r="H33" s="210" t="str">
        <f>IF(F33=0," ",VLOOKUP(F33,[15]Sheet1!$A$1:$B$8,2,FALSE))</f>
        <v xml:space="preserve"> </v>
      </c>
    </row>
    <row r="34" spans="1:8" ht="23.25" thickBot="1" x14ac:dyDescent="0.3">
      <c r="A34" s="175" t="s">
        <v>350</v>
      </c>
      <c r="B34" s="196" t="s">
        <v>214</v>
      </c>
      <c r="C34" s="196">
        <v>9</v>
      </c>
      <c r="D34" s="197">
        <v>25</v>
      </c>
      <c r="E34" s="197">
        <f t="shared" si="1"/>
        <v>225</v>
      </c>
      <c r="F34" s="198"/>
      <c r="G34" s="206"/>
      <c r="H34" s="210"/>
    </row>
    <row r="35" spans="1:8" ht="23.25" thickBot="1" x14ac:dyDescent="0.3">
      <c r="A35" s="175" t="s">
        <v>351</v>
      </c>
      <c r="B35" s="196" t="s">
        <v>352</v>
      </c>
      <c r="C35" s="196">
        <v>297</v>
      </c>
      <c r="D35" s="197">
        <v>120</v>
      </c>
      <c r="E35" s="197">
        <f t="shared" si="1"/>
        <v>35640</v>
      </c>
      <c r="F35" s="198"/>
      <c r="G35" s="206"/>
      <c r="H35" s="210"/>
    </row>
    <row r="36" spans="1:8" ht="15.75" thickBot="1" x14ac:dyDescent="0.3">
      <c r="A36" s="175" t="s">
        <v>353</v>
      </c>
      <c r="B36" s="196" t="s">
        <v>212</v>
      </c>
      <c r="C36" s="196">
        <v>27</v>
      </c>
      <c r="D36" s="197">
        <v>200</v>
      </c>
      <c r="E36" s="197">
        <f t="shared" si="1"/>
        <v>5400</v>
      </c>
      <c r="F36" s="198"/>
      <c r="G36" s="206"/>
      <c r="H36" s="210"/>
    </row>
    <row r="37" spans="1:8" ht="15.75" thickBot="1" x14ac:dyDescent="0.3">
      <c r="A37" s="175" t="s">
        <v>354</v>
      </c>
      <c r="B37" s="196" t="s">
        <v>214</v>
      </c>
      <c r="C37" s="196">
        <v>270</v>
      </c>
      <c r="D37" s="197">
        <v>25</v>
      </c>
      <c r="E37" s="197">
        <f t="shared" si="1"/>
        <v>6750</v>
      </c>
      <c r="F37" s="198"/>
      <c r="G37" s="206"/>
      <c r="H37" s="210"/>
    </row>
    <row r="38" spans="1:8" ht="23.25" thickBot="1" x14ac:dyDescent="0.3">
      <c r="A38" s="175" t="s">
        <v>355</v>
      </c>
      <c r="B38" s="196" t="s">
        <v>214</v>
      </c>
      <c r="C38" s="196">
        <v>27</v>
      </c>
      <c r="D38" s="197">
        <v>25</v>
      </c>
      <c r="E38" s="197">
        <f t="shared" si="1"/>
        <v>675</v>
      </c>
      <c r="F38" s="198"/>
      <c r="G38" s="206"/>
      <c r="H38" s="210"/>
    </row>
    <row r="39" spans="1:8" ht="23.25" thickBot="1" x14ac:dyDescent="0.3">
      <c r="A39" s="175" t="s">
        <v>356</v>
      </c>
      <c r="B39" s="196" t="s">
        <v>352</v>
      </c>
      <c r="C39" s="196">
        <v>891</v>
      </c>
      <c r="D39" s="197">
        <v>120</v>
      </c>
      <c r="E39" s="197">
        <f t="shared" si="1"/>
        <v>106920</v>
      </c>
      <c r="F39" s="198"/>
      <c r="G39" s="206"/>
      <c r="H39" s="210"/>
    </row>
    <row r="40" spans="1:8" ht="15.75" thickBot="1" x14ac:dyDescent="0.3">
      <c r="A40" s="175" t="s">
        <v>357</v>
      </c>
      <c r="B40" s="196" t="s">
        <v>212</v>
      </c>
      <c r="C40" s="196">
        <v>81</v>
      </c>
      <c r="D40" s="197">
        <v>200</v>
      </c>
      <c r="E40" s="197">
        <f t="shared" si="1"/>
        <v>16200</v>
      </c>
      <c r="F40" s="198"/>
      <c r="G40" s="206"/>
      <c r="H40" s="210"/>
    </row>
    <row r="41" spans="1:8" ht="15.75" thickBot="1" x14ac:dyDescent="0.3">
      <c r="A41" s="517" t="s">
        <v>358</v>
      </c>
      <c r="B41" s="518"/>
      <c r="C41" s="518"/>
      <c r="D41" s="523"/>
      <c r="E41" s="102">
        <f>SUM(E33:E40)</f>
        <v>174060</v>
      </c>
      <c r="F41" s="12"/>
      <c r="G41" s="93"/>
      <c r="H41" s="25" t="str">
        <f>IF(F41=0," ",VLOOKUP(F41,[15]Sheet1!$A$1:$B$8,2,FALSE))</f>
        <v xml:space="preserve"> </v>
      </c>
    </row>
    <row r="42" spans="1:8" ht="15.75" thickBot="1" x14ac:dyDescent="0.3">
      <c r="A42" s="520" t="s">
        <v>757</v>
      </c>
      <c r="B42" s="521"/>
      <c r="C42" s="521"/>
      <c r="D42" s="521"/>
      <c r="E42" s="521"/>
      <c r="F42" s="521"/>
      <c r="G42" s="522"/>
      <c r="H42" s="37"/>
    </row>
    <row r="43" spans="1:8" ht="15.75" thickBot="1" x14ac:dyDescent="0.3">
      <c r="A43" s="181"/>
      <c r="B43" s="182"/>
      <c r="C43" s="182"/>
      <c r="D43" s="182"/>
      <c r="E43" s="182"/>
      <c r="F43" s="182"/>
      <c r="G43" s="211"/>
      <c r="H43" s="212"/>
    </row>
    <row r="44" spans="1:8" ht="15.75" thickBot="1" x14ac:dyDescent="0.3">
      <c r="A44" s="181"/>
      <c r="B44" s="182"/>
      <c r="C44" s="182"/>
      <c r="D44" s="182"/>
      <c r="E44" s="182"/>
      <c r="F44" s="182"/>
      <c r="G44" s="211"/>
      <c r="H44" s="212"/>
    </row>
    <row r="45" spans="1:8" ht="23.25" thickBot="1" x14ac:dyDescent="0.3">
      <c r="A45" s="175" t="s">
        <v>359</v>
      </c>
      <c r="B45" s="213" t="s">
        <v>212</v>
      </c>
      <c r="C45" s="196">
        <v>60</v>
      </c>
      <c r="D45" s="197">
        <v>25</v>
      </c>
      <c r="E45" s="197">
        <f>SUM(C45*D45)</f>
        <v>1500</v>
      </c>
      <c r="F45" s="198"/>
      <c r="G45" s="206" t="s">
        <v>360</v>
      </c>
      <c r="H45" s="210" t="str">
        <f>IF(F45=0," ",VLOOKUP(F45,[15]Sheet1!$A$1:$B$8,2,FALSE))</f>
        <v xml:space="preserve"> </v>
      </c>
    </row>
    <row r="46" spans="1:8" ht="23.25" thickBot="1" x14ac:dyDescent="0.3">
      <c r="A46" s="175" t="s">
        <v>361</v>
      </c>
      <c r="B46" s="213" t="s">
        <v>212</v>
      </c>
      <c r="C46" s="196">
        <v>120</v>
      </c>
      <c r="D46" s="197">
        <v>10</v>
      </c>
      <c r="E46" s="197">
        <f>SUM(C46*D46)</f>
        <v>1200</v>
      </c>
      <c r="F46" s="198"/>
      <c r="G46" s="206"/>
      <c r="H46" s="210"/>
    </row>
    <row r="47" spans="1:8" ht="23.25" thickBot="1" x14ac:dyDescent="0.3">
      <c r="A47" s="175" t="s">
        <v>362</v>
      </c>
      <c r="B47" s="213" t="s">
        <v>214</v>
      </c>
      <c r="C47" s="196">
        <v>60</v>
      </c>
      <c r="D47" s="197">
        <v>25</v>
      </c>
      <c r="E47" s="197">
        <f>SUM(C47*D47)</f>
        <v>1500</v>
      </c>
      <c r="F47" s="198"/>
      <c r="G47" s="206"/>
      <c r="H47" s="210"/>
    </row>
    <row r="48" spans="1:8" ht="23.25" thickBot="1" x14ac:dyDescent="0.3">
      <c r="A48" s="175" t="s">
        <v>363</v>
      </c>
      <c r="B48" s="196" t="s">
        <v>212</v>
      </c>
      <c r="C48" s="196">
        <v>80</v>
      </c>
      <c r="D48" s="197">
        <v>200</v>
      </c>
      <c r="E48" s="197">
        <f>SUM(C48*D48)</f>
        <v>16000</v>
      </c>
      <c r="F48" s="198"/>
      <c r="G48" s="206"/>
      <c r="H48" s="210" t="str">
        <f>IF(F48=0," ",VLOOKUP(F48,[15]Sheet1!$A$1:$B$8,2,FALSE))</f>
        <v xml:space="preserve"> </v>
      </c>
    </row>
    <row r="49" spans="1:8" ht="15.75" thickBot="1" x14ac:dyDescent="0.3">
      <c r="A49" s="517" t="s">
        <v>5</v>
      </c>
      <c r="B49" s="518"/>
      <c r="C49" s="518"/>
      <c r="D49" s="523"/>
      <c r="E49" s="102">
        <f>SUM(E45:E48)</f>
        <v>20200</v>
      </c>
      <c r="F49" s="12"/>
      <c r="G49" s="93"/>
      <c r="H49" s="25" t="str">
        <f>IF(F49=0," ",VLOOKUP(F49,[15]Sheet1!$A$1:$B$8,2,FALSE))</f>
        <v xml:space="preserve"> </v>
      </c>
    </row>
    <row r="50" spans="1:8" ht="42" customHeight="1" thickBot="1" x14ac:dyDescent="0.3">
      <c r="A50" s="520" t="s">
        <v>547</v>
      </c>
      <c r="B50" s="521"/>
      <c r="C50" s="521"/>
      <c r="D50" s="521"/>
      <c r="E50" s="521"/>
      <c r="F50" s="521"/>
      <c r="G50" s="522"/>
      <c r="H50" s="37"/>
    </row>
    <row r="51" spans="1:8" ht="15.75" thickBot="1" x14ac:dyDescent="0.3">
      <c r="A51" s="175" t="s">
        <v>364</v>
      </c>
      <c r="B51" s="213" t="s">
        <v>365</v>
      </c>
      <c r="C51" s="196">
        <v>3000</v>
      </c>
      <c r="D51" s="197">
        <v>6</v>
      </c>
      <c r="E51" s="197">
        <f>SUM(C51*D51)</f>
        <v>18000</v>
      </c>
      <c r="F51" s="12"/>
      <c r="G51" s="93"/>
      <c r="H51" s="25" t="str">
        <f>IF(F51=0," ",VLOOKUP(F51,[15]Sheet1!$A$1:$B$8,2,FALSE))</f>
        <v xml:space="preserve"> </v>
      </c>
    </row>
    <row r="52" spans="1:8" ht="15.75" thickBot="1" x14ac:dyDescent="0.3">
      <c r="A52" s="175" t="s">
        <v>366</v>
      </c>
      <c r="B52" s="213" t="s">
        <v>365</v>
      </c>
      <c r="C52" s="196">
        <v>500</v>
      </c>
      <c r="D52" s="197">
        <v>3</v>
      </c>
      <c r="E52" s="197">
        <f>SUM(C52*D52)</f>
        <v>1500</v>
      </c>
      <c r="F52" s="12"/>
      <c r="G52" s="93"/>
      <c r="H52" s="25"/>
    </row>
    <row r="53" spans="1:8" ht="23.25" thickBot="1" x14ac:dyDescent="0.3">
      <c r="A53" s="175" t="s">
        <v>758</v>
      </c>
      <c r="B53" s="213" t="s">
        <v>212</v>
      </c>
      <c r="C53" s="196">
        <v>135</v>
      </c>
      <c r="D53" s="197">
        <v>200</v>
      </c>
      <c r="E53" s="197">
        <f>SUM(C53*D53)</f>
        <v>27000</v>
      </c>
      <c r="F53" s="12"/>
      <c r="G53" s="93"/>
      <c r="H53" s="25"/>
    </row>
    <row r="54" spans="1:8" ht="23.25" thickBot="1" x14ac:dyDescent="0.3">
      <c r="A54" s="175" t="s">
        <v>759</v>
      </c>
      <c r="B54" s="196" t="s">
        <v>212</v>
      </c>
      <c r="C54" s="196">
        <v>135</v>
      </c>
      <c r="D54" s="197">
        <v>200</v>
      </c>
      <c r="E54" s="197">
        <f>SUM(C54*D54)</f>
        <v>27000</v>
      </c>
      <c r="F54" s="12"/>
      <c r="G54" s="93"/>
      <c r="H54" s="25"/>
    </row>
    <row r="55" spans="1:8" ht="15.75" thickBot="1" x14ac:dyDescent="0.3">
      <c r="A55" s="517" t="s">
        <v>6</v>
      </c>
      <c r="B55" s="518"/>
      <c r="C55" s="518"/>
      <c r="D55" s="523"/>
      <c r="E55" s="102">
        <f>SUM(E51:E54)</f>
        <v>73500</v>
      </c>
      <c r="F55" s="12"/>
      <c r="G55" s="93"/>
      <c r="H55" s="25" t="str">
        <f>IF(F55=0," ",VLOOKUP(F55,[15]Sheet1!$A$1:$B$8,2,FALSE))</f>
        <v xml:space="preserve"> </v>
      </c>
    </row>
    <row r="56" spans="1:8" ht="15.75" thickBot="1" x14ac:dyDescent="0.3">
      <c r="A56" s="520" t="s">
        <v>548</v>
      </c>
      <c r="B56" s="521"/>
      <c r="C56" s="521"/>
      <c r="D56" s="521"/>
      <c r="E56" s="521"/>
      <c r="F56" s="521"/>
      <c r="G56" s="522"/>
      <c r="H56" s="37"/>
    </row>
    <row r="57" spans="1:8" ht="23.25" thickBot="1" x14ac:dyDescent="0.3">
      <c r="A57" s="175" t="s">
        <v>367</v>
      </c>
      <c r="B57" s="196" t="s">
        <v>368</v>
      </c>
      <c r="C57" s="196">
        <v>3</v>
      </c>
      <c r="D57" s="197">
        <v>10000</v>
      </c>
      <c r="E57" s="197">
        <f>SUM(C57*D57)</f>
        <v>30000</v>
      </c>
      <c r="F57" s="198"/>
      <c r="G57" s="206"/>
      <c r="H57" s="210" t="str">
        <f>IF(F57=0," ",VLOOKUP(F57,[15]Sheet1!$A$1:$B$8,2,FALSE))</f>
        <v xml:space="preserve"> </v>
      </c>
    </row>
    <row r="58" spans="1:8" ht="15.75" thickBot="1" x14ac:dyDescent="0.3">
      <c r="A58" s="175" t="s">
        <v>369</v>
      </c>
      <c r="B58" s="196" t="s">
        <v>370</v>
      </c>
      <c r="C58" s="196">
        <v>1</v>
      </c>
      <c r="D58" s="214">
        <v>11000</v>
      </c>
      <c r="E58" s="197">
        <f>SUM(C58*D58)</f>
        <v>11000</v>
      </c>
      <c r="F58" s="198"/>
      <c r="G58" s="206"/>
      <c r="H58" s="210"/>
    </row>
    <row r="59" spans="1:8" ht="15.75" thickBot="1" x14ac:dyDescent="0.3">
      <c r="A59" s="175" t="s">
        <v>371</v>
      </c>
      <c r="B59" s="215" t="s">
        <v>372</v>
      </c>
      <c r="C59" s="196">
        <v>3</v>
      </c>
      <c r="D59" s="197">
        <v>26000</v>
      </c>
      <c r="E59" s="197">
        <f>SUM(C59*D59)</f>
        <v>78000</v>
      </c>
      <c r="F59" s="198"/>
      <c r="G59" s="206"/>
      <c r="H59" s="210" t="str">
        <f>IF(F59=0," ",VLOOKUP(F59,[15]Sheet1!$A$1:$B$8,2,FALSE))</f>
        <v xml:space="preserve"> </v>
      </c>
    </row>
    <row r="60" spans="1:8" ht="15.75" thickBot="1" x14ac:dyDescent="0.3">
      <c r="A60" s="517" t="s">
        <v>123</v>
      </c>
      <c r="B60" s="518"/>
      <c r="C60" s="518"/>
      <c r="D60" s="523"/>
      <c r="E60" s="102">
        <f>SUM(E57:E59)</f>
        <v>119000</v>
      </c>
      <c r="F60" s="12"/>
      <c r="G60" s="93"/>
      <c r="H60" s="25" t="str">
        <f>IF(F60=0," ",VLOOKUP(F60,[15]Sheet1!$A$1:$B$8,2,FALSE))</f>
        <v xml:space="preserve"> </v>
      </c>
    </row>
    <row r="61" spans="1:8" ht="15.75" thickBot="1" x14ac:dyDescent="0.3">
      <c r="A61" s="520" t="s">
        <v>549</v>
      </c>
      <c r="B61" s="521"/>
      <c r="C61" s="521"/>
      <c r="D61" s="521"/>
      <c r="E61" s="521"/>
      <c r="F61" s="521"/>
      <c r="G61" s="522"/>
      <c r="H61" s="37"/>
    </row>
    <row r="62" spans="1:8" ht="23.25" thickBot="1" x14ac:dyDescent="0.3">
      <c r="A62" s="175" t="s">
        <v>373</v>
      </c>
      <c r="B62" s="196" t="s">
        <v>212</v>
      </c>
      <c r="C62" s="196">
        <v>225</v>
      </c>
      <c r="D62" s="197">
        <v>200</v>
      </c>
      <c r="E62" s="197">
        <f>SUM(C62*D62)</f>
        <v>45000</v>
      </c>
      <c r="F62" s="198"/>
      <c r="G62" s="206"/>
      <c r="H62" s="210" t="str">
        <f>IF(F62=0," ",VLOOKUP(F62,[15]Sheet1!$A$1:$B$8,2,FALSE))</f>
        <v xml:space="preserve"> </v>
      </c>
    </row>
    <row r="63" spans="1:8" ht="15.75" thickBot="1" x14ac:dyDescent="0.3">
      <c r="A63" s="175"/>
      <c r="B63" s="215"/>
      <c r="C63" s="196"/>
      <c r="D63" s="197"/>
      <c r="E63" s="197"/>
      <c r="F63" s="198"/>
      <c r="G63" s="206"/>
      <c r="H63" s="210" t="str">
        <f>IF(F63=0," ",VLOOKUP(F63,[15]Sheet1!$A$1:$B$8,2,FALSE))</f>
        <v xml:space="preserve"> </v>
      </c>
    </row>
    <row r="64" spans="1:8" ht="15.75" thickBot="1" x14ac:dyDescent="0.3">
      <c r="A64" s="517" t="s">
        <v>374</v>
      </c>
      <c r="B64" s="518"/>
      <c r="C64" s="518"/>
      <c r="D64" s="523"/>
      <c r="E64" s="102">
        <f>SUM(E62:E63)</f>
        <v>45000</v>
      </c>
      <c r="F64" s="12"/>
      <c r="G64" s="93"/>
      <c r="H64" s="25" t="str">
        <f>IF(F64=0," ",VLOOKUP(F64,[15]Sheet1!$A$1:$B$8,2,FALSE))</f>
        <v xml:space="preserve"> </v>
      </c>
    </row>
    <row r="65" spans="1:8" ht="36" customHeight="1" thickBot="1" x14ac:dyDescent="0.3">
      <c r="A65" s="520" t="s">
        <v>550</v>
      </c>
      <c r="B65" s="521"/>
      <c r="C65" s="521"/>
      <c r="D65" s="521"/>
      <c r="E65" s="521"/>
      <c r="F65" s="521"/>
      <c r="G65" s="522"/>
      <c r="H65" s="37"/>
    </row>
    <row r="66" spans="1:8" ht="23.25" thickBot="1" x14ac:dyDescent="0.3">
      <c r="A66" s="175" t="s">
        <v>760</v>
      </c>
      <c r="B66" s="3" t="s">
        <v>212</v>
      </c>
      <c r="C66" s="3">
        <v>45</v>
      </c>
      <c r="D66" s="4">
        <v>200</v>
      </c>
      <c r="E66" s="4">
        <f>SUM(C66*D66)</f>
        <v>9000</v>
      </c>
      <c r="F66" s="12"/>
      <c r="G66" s="93"/>
      <c r="H66" s="25" t="str">
        <f>IF(F66=0," ",VLOOKUP(F66,[15]Sheet1!$A$1:$B$8,2,FALSE))</f>
        <v xml:space="preserve"> </v>
      </c>
    </row>
    <row r="67" spans="1:8" ht="15.75" thickBot="1" x14ac:dyDescent="0.3">
      <c r="A67" s="1"/>
      <c r="B67" s="92"/>
      <c r="C67" s="3"/>
      <c r="D67" s="4"/>
      <c r="E67" s="4"/>
      <c r="F67" s="12"/>
      <c r="G67" s="93"/>
      <c r="H67" s="25" t="str">
        <f>IF(F67=0," ",VLOOKUP(F67,[15]Sheet1!$A$1:$B$8,2,FALSE))</f>
        <v xml:space="preserve"> </v>
      </c>
    </row>
    <row r="68" spans="1:8" ht="15.75" thickBot="1" x14ac:dyDescent="0.3">
      <c r="A68" s="517" t="s">
        <v>375</v>
      </c>
      <c r="B68" s="518"/>
      <c r="C68" s="518"/>
      <c r="D68" s="523"/>
      <c r="E68" s="102">
        <f>SUM(E66:E67)</f>
        <v>9000</v>
      </c>
      <c r="F68" s="12"/>
      <c r="G68" s="93"/>
      <c r="H68" s="25" t="str">
        <f>IF(F68=0," ",VLOOKUP(F68,[15]Sheet1!$A$1:$B$8,2,FALSE))</f>
        <v xml:space="preserve"> </v>
      </c>
    </row>
    <row r="69" spans="1:8" ht="25.5" customHeight="1" thickBot="1" x14ac:dyDescent="0.3">
      <c r="A69" s="520" t="s">
        <v>551</v>
      </c>
      <c r="B69" s="521"/>
      <c r="C69" s="521"/>
      <c r="D69" s="521"/>
      <c r="E69" s="521"/>
      <c r="F69" s="521"/>
      <c r="G69" s="522"/>
      <c r="H69" s="37"/>
    </row>
    <row r="70" spans="1:8" ht="15.75" thickBot="1" x14ac:dyDescent="0.3">
      <c r="A70" s="1"/>
      <c r="B70" s="3"/>
      <c r="C70" s="3"/>
      <c r="D70" s="4"/>
      <c r="E70" s="4"/>
      <c r="F70" s="12"/>
      <c r="G70" s="93"/>
      <c r="H70" s="25" t="str">
        <f>IF(F70=0," ",VLOOKUP(F70,[15]Sheet1!$A$1:$B$8,2,FALSE))</f>
        <v xml:space="preserve"> </v>
      </c>
    </row>
    <row r="71" spans="1:8" ht="15.75" thickBot="1" x14ac:dyDescent="0.3">
      <c r="A71" s="1"/>
      <c r="B71" s="92"/>
      <c r="C71" s="3"/>
      <c r="D71" s="4"/>
      <c r="E71" s="4"/>
      <c r="F71" s="12"/>
      <c r="G71" s="93"/>
      <c r="H71" s="25" t="str">
        <f>IF(F71=0," ",VLOOKUP(F71,[15]Sheet1!$A$1:$B$8,2,FALSE))</f>
        <v xml:space="preserve"> </v>
      </c>
    </row>
    <row r="72" spans="1:8" ht="15.75" thickBot="1" x14ac:dyDescent="0.3">
      <c r="A72" s="517" t="s">
        <v>376</v>
      </c>
      <c r="B72" s="518"/>
      <c r="C72" s="518"/>
      <c r="D72" s="523"/>
      <c r="E72" s="102">
        <v>0</v>
      </c>
      <c r="F72" s="12"/>
      <c r="G72" s="93"/>
      <c r="H72" s="25" t="str">
        <f>IF(F72=0," ",VLOOKUP(F72,[15]Sheet1!$A$1:$B$8,2,FALSE))</f>
        <v xml:space="preserve"> </v>
      </c>
    </row>
    <row r="73" spans="1:8" ht="15.75" thickBot="1" x14ac:dyDescent="0.3">
      <c r="A73" s="520" t="s">
        <v>552</v>
      </c>
      <c r="B73" s="521"/>
      <c r="C73" s="521"/>
      <c r="D73" s="521"/>
      <c r="E73" s="521"/>
      <c r="F73" s="521"/>
      <c r="G73" s="522"/>
      <c r="H73" s="37"/>
    </row>
    <row r="74" spans="1:8" ht="23.25" thickBot="1" x14ac:dyDescent="0.3">
      <c r="A74" s="175" t="s">
        <v>377</v>
      </c>
      <c r="B74" s="196" t="s">
        <v>368</v>
      </c>
      <c r="C74" s="196">
        <v>3</v>
      </c>
      <c r="D74" s="197">
        <v>7000</v>
      </c>
      <c r="E74" s="197">
        <f>SUM(C74*D74)</f>
        <v>21000</v>
      </c>
      <c r="F74" s="198"/>
      <c r="G74" s="206"/>
      <c r="H74" s="210" t="str">
        <f>IF(F74=0," ",VLOOKUP(F74,[15]Sheet1!$A$1:$B$8,2,FALSE))</f>
        <v xml:space="preserve"> </v>
      </c>
    </row>
    <row r="75" spans="1:8" ht="15.75" thickBot="1" x14ac:dyDescent="0.3">
      <c r="A75" s="175" t="s">
        <v>371</v>
      </c>
      <c r="B75" s="215" t="s">
        <v>372</v>
      </c>
      <c r="C75" s="196">
        <v>3</v>
      </c>
      <c r="D75" s="197">
        <v>10000</v>
      </c>
      <c r="E75" s="197">
        <f>SUM(C75*D75)</f>
        <v>30000</v>
      </c>
      <c r="F75" s="198"/>
      <c r="G75" s="206"/>
      <c r="H75" s="210" t="str">
        <f>IF(F75=0," ",VLOOKUP(F75,[15]Sheet1!$A$1:$B$8,2,FALSE))</f>
        <v xml:space="preserve"> </v>
      </c>
    </row>
    <row r="76" spans="1:8" ht="15.75" thickBot="1" x14ac:dyDescent="0.3">
      <c r="A76" s="168" t="s">
        <v>378</v>
      </c>
      <c r="B76" s="216" t="s">
        <v>340</v>
      </c>
      <c r="C76" s="208">
        <v>30</v>
      </c>
      <c r="D76" s="209">
        <v>7</v>
      </c>
      <c r="E76" s="197">
        <f>SUM(C76*D76)</f>
        <v>210</v>
      </c>
      <c r="F76" s="198"/>
      <c r="G76" s="206"/>
      <c r="H76" s="210"/>
    </row>
    <row r="77" spans="1:8" ht="15.75" thickBot="1" x14ac:dyDescent="0.3">
      <c r="A77" s="517" t="s">
        <v>379</v>
      </c>
      <c r="B77" s="518"/>
      <c r="C77" s="518"/>
      <c r="D77" s="523"/>
      <c r="E77" s="102">
        <f>SUM(E74:E75)</f>
        <v>51000</v>
      </c>
      <c r="F77" s="12"/>
      <c r="G77" s="93"/>
      <c r="H77" s="25" t="str">
        <f>IF(F77=0," ",VLOOKUP(F77,[15]Sheet1!$A$1:$B$8,2,FALSE))</f>
        <v xml:space="preserve"> </v>
      </c>
    </row>
    <row r="78" spans="1:8" ht="15.75" thickBot="1" x14ac:dyDescent="0.3">
      <c r="A78" s="435"/>
      <c r="B78" s="436"/>
      <c r="C78" s="436"/>
      <c r="D78" s="438"/>
      <c r="E78" s="102"/>
      <c r="F78" s="12"/>
      <c r="G78" s="93"/>
      <c r="H78" s="25"/>
    </row>
    <row r="79" spans="1:8" ht="15.75" thickBot="1" x14ac:dyDescent="0.3">
      <c r="A79" s="526" t="s">
        <v>11</v>
      </c>
      <c r="B79" s="527"/>
      <c r="C79" s="527"/>
      <c r="D79" s="528"/>
      <c r="E79" s="105">
        <f>SUM(+E77+E72+E68+E64+E60+E55+E49+E41+E31+E18)</f>
        <v>630000</v>
      </c>
      <c r="F79" s="93"/>
      <c r="G79" s="93"/>
      <c r="H79" s="38"/>
    </row>
    <row r="80" spans="1:8" ht="15.75" thickBot="1" x14ac:dyDescent="0.3">
      <c r="A80" s="532" t="s">
        <v>12</v>
      </c>
      <c r="B80" s="533"/>
      <c r="C80" s="533"/>
      <c r="D80" s="533"/>
      <c r="E80" s="533"/>
      <c r="F80" s="533"/>
      <c r="G80" s="534"/>
      <c r="H80" s="39"/>
    </row>
    <row r="81" spans="1:8" ht="79.5" thickBot="1" x14ac:dyDescent="0.3">
      <c r="A81" s="526" t="s">
        <v>13</v>
      </c>
      <c r="B81" s="527"/>
      <c r="C81" s="527"/>
      <c r="D81" s="528"/>
      <c r="E81" s="6"/>
      <c r="F81" s="93"/>
      <c r="G81" s="93"/>
      <c r="H81" s="40" t="s">
        <v>40</v>
      </c>
    </row>
    <row r="82" spans="1:8" ht="15.75" thickBot="1" x14ac:dyDescent="0.3">
      <c r="A82" s="529" t="s">
        <v>22</v>
      </c>
      <c r="B82" s="530"/>
      <c r="C82" s="530"/>
      <c r="D82" s="531"/>
      <c r="E82" s="106">
        <f>E79</f>
        <v>630000</v>
      </c>
      <c r="F82" s="93"/>
      <c r="G82" s="93"/>
      <c r="H82" s="41"/>
    </row>
    <row r="83" spans="1:8" ht="15.75" thickBot="1" x14ac:dyDescent="0.3">
      <c r="A83" s="15"/>
      <c r="B83" s="15"/>
      <c r="C83" s="15"/>
      <c r="D83" s="15"/>
      <c r="E83" s="15"/>
      <c r="F83" s="15"/>
      <c r="G83" s="15"/>
      <c r="H83" s="29"/>
    </row>
    <row r="84" spans="1:8" ht="15.75" thickBot="1" x14ac:dyDescent="0.3">
      <c r="A84" s="486" t="s">
        <v>19</v>
      </c>
      <c r="B84" s="486"/>
      <c r="C84" s="486"/>
      <c r="D84" s="486"/>
      <c r="E84" s="9">
        <f>E18</f>
        <v>43920</v>
      </c>
      <c r="F84" s="15"/>
      <c r="G84" s="15"/>
      <c r="H84" s="29"/>
    </row>
    <row r="85" spans="1:8" ht="15.75" thickBot="1" x14ac:dyDescent="0.3">
      <c r="A85" s="486" t="s">
        <v>20</v>
      </c>
      <c r="B85" s="486"/>
      <c r="C85" s="486"/>
      <c r="D85" s="486"/>
      <c r="E85" s="6">
        <f>E82-E84</f>
        <v>586080</v>
      </c>
      <c r="F85" s="15"/>
      <c r="G85" s="15"/>
      <c r="H85" s="29"/>
    </row>
    <row r="86" spans="1:8" x14ac:dyDescent="0.25">
      <c r="A86" s="15"/>
      <c r="B86" s="15"/>
      <c r="C86" s="15"/>
      <c r="D86" s="15"/>
      <c r="E86" s="15"/>
      <c r="F86" s="15"/>
      <c r="G86" s="15"/>
      <c r="H86" s="29"/>
    </row>
    <row r="87" spans="1:8" ht="15.75" thickBot="1" x14ac:dyDescent="0.3">
      <c r="A87" s="15"/>
      <c r="B87" s="15"/>
      <c r="C87" s="15"/>
      <c r="D87" s="15"/>
      <c r="E87" s="15"/>
      <c r="F87" s="15"/>
      <c r="G87" s="15"/>
      <c r="H87" s="29"/>
    </row>
    <row r="88" spans="1:8" ht="57" thickBot="1" x14ac:dyDescent="0.3">
      <c r="A88" s="21" t="s">
        <v>35</v>
      </c>
      <c r="B88" s="217" t="s">
        <v>27</v>
      </c>
      <c r="C88" s="19" t="s">
        <v>380</v>
      </c>
      <c r="D88" s="19" t="s">
        <v>381</v>
      </c>
      <c r="E88" s="19"/>
      <c r="F88" s="19" t="s">
        <v>25</v>
      </c>
      <c r="G88" s="42" t="s">
        <v>26</v>
      </c>
      <c r="H88" s="15"/>
    </row>
    <row r="89" spans="1:8" ht="15.75" thickBot="1" x14ac:dyDescent="0.3">
      <c r="A89" s="437" t="s">
        <v>50</v>
      </c>
      <c r="B89" s="181">
        <v>46800</v>
      </c>
      <c r="C89" s="1">
        <v>12600</v>
      </c>
      <c r="D89" s="213">
        <v>12600</v>
      </c>
      <c r="E89" s="3"/>
      <c r="F89" s="12">
        <f>SUM(B89:E89)</f>
        <v>72000</v>
      </c>
      <c r="G89" s="41"/>
      <c r="H89" s="15"/>
    </row>
    <row r="90" spans="1:8" ht="23.25" thickBot="1" x14ac:dyDescent="0.3">
      <c r="A90" s="437" t="s">
        <v>51</v>
      </c>
      <c r="B90" s="181"/>
      <c r="C90" s="1">
        <f>E22+E23+E24+E25+E45+E46+E47</f>
        <v>32105</v>
      </c>
      <c r="D90" s="213">
        <f>E33+E34+E35+E37+E38+E39</f>
        <v>152460</v>
      </c>
      <c r="E90" s="3"/>
      <c r="F90" s="12">
        <f t="shared" ref="F90:F97" si="2">SUM(C90:E90)</f>
        <v>184565</v>
      </c>
      <c r="G90" s="41"/>
      <c r="H90" s="15"/>
    </row>
    <row r="91" spans="1:8" ht="23.25" thickBot="1" x14ac:dyDescent="0.3">
      <c r="A91" s="437" t="s">
        <v>52</v>
      </c>
      <c r="B91" s="181"/>
      <c r="C91" s="1">
        <v>0</v>
      </c>
      <c r="D91" s="213">
        <v>0</v>
      </c>
      <c r="E91" s="3"/>
      <c r="F91" s="12">
        <f t="shared" si="2"/>
        <v>0</v>
      </c>
      <c r="G91" s="41"/>
      <c r="H91" s="15"/>
    </row>
    <row r="92" spans="1:8" ht="23.25" thickBot="1" x14ac:dyDescent="0.3">
      <c r="A92" s="437" t="s">
        <v>53</v>
      </c>
      <c r="B92" s="181"/>
      <c r="C92" s="1">
        <f>E57</f>
        <v>30000</v>
      </c>
      <c r="D92" s="213">
        <f>E74</f>
        <v>21000</v>
      </c>
      <c r="E92" s="3"/>
      <c r="F92" s="12">
        <f t="shared" si="2"/>
        <v>51000</v>
      </c>
      <c r="G92" s="41"/>
      <c r="H92" s="15"/>
    </row>
    <row r="93" spans="1:8" ht="23.25" thickBot="1" x14ac:dyDescent="0.3">
      <c r="A93" s="437" t="s">
        <v>54</v>
      </c>
      <c r="B93" s="181"/>
      <c r="C93" s="1">
        <v>0</v>
      </c>
      <c r="D93" s="213">
        <v>0</v>
      </c>
      <c r="E93" s="3"/>
      <c r="F93" s="12">
        <f t="shared" si="2"/>
        <v>0</v>
      </c>
      <c r="G93" s="41"/>
      <c r="H93" s="15"/>
    </row>
    <row r="94" spans="1:8" ht="15.75" thickBot="1" x14ac:dyDescent="0.3">
      <c r="A94" s="437" t="s">
        <v>55</v>
      </c>
      <c r="B94" s="181"/>
      <c r="C94" s="1">
        <f>E30+E29</f>
        <v>20305</v>
      </c>
      <c r="D94" s="213">
        <v>0</v>
      </c>
      <c r="E94" s="3"/>
      <c r="F94" s="12">
        <f t="shared" si="2"/>
        <v>20305</v>
      </c>
      <c r="G94" s="41"/>
      <c r="H94" s="15"/>
    </row>
    <row r="95" spans="1:8" ht="23.25" thickBot="1" x14ac:dyDescent="0.3">
      <c r="A95" s="437" t="s">
        <v>56</v>
      </c>
      <c r="B95" s="181"/>
      <c r="C95" s="1">
        <f>E20+E21+E26+E27+E28+E48+E51+E52+E53+E54+E58+E59</f>
        <v>224610</v>
      </c>
      <c r="D95" s="213">
        <f>E76+E75+E40+E36+E66+E62</f>
        <v>105810</v>
      </c>
      <c r="E95" s="3"/>
      <c r="F95" s="12">
        <f t="shared" si="2"/>
        <v>330420</v>
      </c>
      <c r="G95" s="107"/>
      <c r="H95" s="15"/>
    </row>
    <row r="96" spans="1:8" ht="23.25" thickBot="1" x14ac:dyDescent="0.3">
      <c r="A96" s="437" t="s">
        <v>57</v>
      </c>
      <c r="B96" s="181"/>
      <c r="C96" s="1">
        <v>0</v>
      </c>
      <c r="D96" s="2">
        <v>0</v>
      </c>
      <c r="E96" s="3"/>
      <c r="F96" s="12">
        <f t="shared" si="2"/>
        <v>0</v>
      </c>
      <c r="G96" s="107"/>
      <c r="H96" s="15"/>
    </row>
    <row r="97" spans="1:8" ht="15.75" thickBot="1" x14ac:dyDescent="0.3">
      <c r="A97" s="437" t="s">
        <v>32</v>
      </c>
      <c r="B97" s="181"/>
      <c r="C97" s="1">
        <v>0</v>
      </c>
      <c r="D97" s="2">
        <v>0</v>
      </c>
      <c r="E97" s="3"/>
      <c r="F97" s="12">
        <f t="shared" si="2"/>
        <v>0</v>
      </c>
      <c r="G97" s="107"/>
      <c r="H97" s="15"/>
    </row>
    <row r="98" spans="1:8" ht="15.75" thickBot="1" x14ac:dyDescent="0.3">
      <c r="A98" s="19" t="s">
        <v>33</v>
      </c>
      <c r="B98" s="218">
        <v>46800</v>
      </c>
      <c r="C98" s="219">
        <f>SUM(C89:C97)</f>
        <v>319620</v>
      </c>
      <c r="D98" s="220">
        <f>SUM(D89:D97)</f>
        <v>291870</v>
      </c>
      <c r="E98" s="221"/>
      <c r="F98" s="222">
        <v>630000</v>
      </c>
      <c r="G98" s="43"/>
      <c r="H98" s="15"/>
    </row>
    <row r="99" spans="1:8" ht="15.75" thickBot="1" x14ac:dyDescent="0.3">
      <c r="A99" s="19" t="s">
        <v>34</v>
      </c>
      <c r="B99" s="223"/>
      <c r="C99" s="1"/>
      <c r="D99" s="2"/>
      <c r="E99" s="3"/>
      <c r="F99" s="12"/>
      <c r="G99" s="224"/>
      <c r="H99" s="15"/>
    </row>
    <row r="100" spans="1:8" x14ac:dyDescent="0.25">
      <c r="A100" s="20"/>
      <c r="B100" s="20"/>
      <c r="C100" s="20"/>
      <c r="D100" s="20"/>
      <c r="E100" s="20"/>
      <c r="F100" s="20"/>
      <c r="G100" s="20"/>
      <c r="H100" s="44"/>
    </row>
    <row r="101" spans="1:8" x14ac:dyDescent="0.25">
      <c r="A101" s="15"/>
      <c r="B101" s="15"/>
      <c r="C101" s="15"/>
      <c r="D101" s="15"/>
      <c r="E101" s="15"/>
      <c r="F101" s="15"/>
      <c r="G101" s="15"/>
      <c r="H101" s="29"/>
    </row>
    <row r="102" spans="1:8" x14ac:dyDescent="0.25">
      <c r="A102" s="15"/>
      <c r="B102" s="15"/>
      <c r="C102" s="15"/>
      <c r="D102" s="15"/>
      <c r="E102" s="15"/>
      <c r="F102" s="15"/>
      <c r="G102" s="15"/>
      <c r="H102" s="29"/>
    </row>
    <row r="105" spans="1:8" x14ac:dyDescent="0.25">
      <c r="A105" s="292" t="s">
        <v>538</v>
      </c>
      <c r="B105" s="448">
        <f>E18+E31+E41+E49+E55+E68+E64+E76</f>
        <v>460210</v>
      </c>
      <c r="C105" s="449"/>
    </row>
    <row r="106" spans="1:8" x14ac:dyDescent="0.25">
      <c r="A106" s="292" t="s">
        <v>539</v>
      </c>
      <c r="B106" s="448">
        <v>0</v>
      </c>
      <c r="C106" s="451"/>
    </row>
    <row r="107" spans="1:8" x14ac:dyDescent="0.25">
      <c r="A107" s="293" t="s">
        <v>34</v>
      </c>
      <c r="B107" s="450">
        <f>(B105+B106)/E82</f>
        <v>0.73049206349206353</v>
      </c>
      <c r="C107" s="452"/>
    </row>
    <row r="108" spans="1:8" x14ac:dyDescent="0.25">
      <c r="B108" s="449"/>
      <c r="C108" s="449"/>
    </row>
  </sheetData>
  <mergeCells count="33">
    <mergeCell ref="A32:G32"/>
    <mergeCell ref="B3:G3"/>
    <mergeCell ref="B4:G4"/>
    <mergeCell ref="B5:G5"/>
    <mergeCell ref="B6:G6"/>
    <mergeCell ref="B7:G7"/>
    <mergeCell ref="B8:G8"/>
    <mergeCell ref="A11:G11"/>
    <mergeCell ref="A12:G12"/>
    <mergeCell ref="A18:D18"/>
    <mergeCell ref="A19:G19"/>
    <mergeCell ref="A31:D31"/>
    <mergeCell ref="A69:G69"/>
    <mergeCell ref="A41:D41"/>
    <mergeCell ref="A42:G42"/>
    <mergeCell ref="A49:D49"/>
    <mergeCell ref="A50:G50"/>
    <mergeCell ref="A55:D55"/>
    <mergeCell ref="A56:G56"/>
    <mergeCell ref="A60:D60"/>
    <mergeCell ref="A61:G61"/>
    <mergeCell ref="A64:D64"/>
    <mergeCell ref="A65:G65"/>
    <mergeCell ref="A68:D68"/>
    <mergeCell ref="A82:D82"/>
    <mergeCell ref="A84:D84"/>
    <mergeCell ref="A85:D85"/>
    <mergeCell ref="A72:D72"/>
    <mergeCell ref="A73:G73"/>
    <mergeCell ref="A77:D77"/>
    <mergeCell ref="A79:D79"/>
    <mergeCell ref="A80:G80"/>
    <mergeCell ref="A81:D8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[15]Sheet1!#REF!</xm:f>
          </x14:formula1>
          <xm:sqref>F45:F49 F51:F55 F57:F60 F62:F64 F66:F68 F70:F72 F74:F78 F13:F18 F20:F31 F33:F41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80" zoomScaleNormal="80" workbookViewId="0">
      <selection activeCell="B107" sqref="B107"/>
    </sheetView>
  </sheetViews>
  <sheetFormatPr defaultRowHeight="15" x14ac:dyDescent="0.25"/>
  <cols>
    <col min="1" max="1" width="44.7109375" customWidth="1"/>
    <col min="2" max="2" width="13.5703125" customWidth="1"/>
    <col min="3" max="4" width="10.5703125" customWidth="1"/>
    <col min="5" max="5" width="16.140625" customWidth="1"/>
    <col min="6" max="6" width="28" customWidth="1"/>
    <col min="7" max="7" width="20.140625" customWidth="1"/>
    <col min="8" max="8" width="16.85546875" customWidth="1"/>
    <col min="9" max="9" width="14" customWidth="1"/>
  </cols>
  <sheetData>
    <row r="1" spans="1:8" x14ac:dyDescent="0.25">
      <c r="A1" s="13" t="s">
        <v>17</v>
      </c>
      <c r="B1" s="14"/>
      <c r="C1" s="14"/>
      <c r="D1" s="15"/>
      <c r="E1" s="15"/>
      <c r="F1" s="15"/>
      <c r="G1" s="15"/>
      <c r="H1" s="29"/>
    </row>
    <row r="2" spans="1:8" ht="15.75" thickBot="1" x14ac:dyDescent="0.3">
      <c r="A2" s="15"/>
      <c r="B2" s="15"/>
      <c r="C2" s="15"/>
      <c r="D2" s="15"/>
      <c r="E2" s="15"/>
      <c r="F2" s="15"/>
      <c r="G2" s="15"/>
      <c r="H2" s="29"/>
    </row>
    <row r="3" spans="1:8" ht="16.5" thickBot="1" x14ac:dyDescent="0.3">
      <c r="A3" s="391" t="s">
        <v>7</v>
      </c>
      <c r="B3" s="622" t="s">
        <v>171</v>
      </c>
      <c r="C3" s="623"/>
      <c r="D3" s="623"/>
      <c r="E3" s="623"/>
      <c r="F3" s="623"/>
      <c r="G3" s="624"/>
      <c r="H3" s="30"/>
    </row>
    <row r="4" spans="1:8" ht="16.5" thickBot="1" x14ac:dyDescent="0.3">
      <c r="A4" s="392" t="s">
        <v>15</v>
      </c>
      <c r="B4" s="625" t="s">
        <v>382</v>
      </c>
      <c r="C4" s="626"/>
      <c r="D4" s="626"/>
      <c r="E4" s="626"/>
      <c r="F4" s="626"/>
      <c r="G4" s="627"/>
      <c r="H4" s="30"/>
    </row>
    <row r="5" spans="1:8" ht="16.5" thickBot="1" x14ac:dyDescent="0.3">
      <c r="A5" s="392" t="s">
        <v>8</v>
      </c>
      <c r="B5" s="622" t="s">
        <v>202</v>
      </c>
      <c r="C5" s="623"/>
      <c r="D5" s="623"/>
      <c r="E5" s="623"/>
      <c r="F5" s="623"/>
      <c r="G5" s="624"/>
      <c r="H5" s="30"/>
    </row>
    <row r="6" spans="1:8" ht="16.5" thickBot="1" x14ac:dyDescent="0.3">
      <c r="A6" s="392" t="s">
        <v>16</v>
      </c>
      <c r="B6" s="628">
        <v>620000</v>
      </c>
      <c r="C6" s="629"/>
      <c r="D6" s="629"/>
      <c r="E6" s="629"/>
      <c r="F6" s="629"/>
      <c r="G6" s="630"/>
      <c r="H6" s="31"/>
    </row>
    <row r="7" spans="1:8" ht="16.5" thickBot="1" x14ac:dyDescent="0.3">
      <c r="A7" s="392" t="s">
        <v>2</v>
      </c>
      <c r="B7" s="631">
        <v>1</v>
      </c>
      <c r="C7" s="632"/>
      <c r="D7" s="632"/>
      <c r="E7" s="632"/>
      <c r="F7" s="632"/>
      <c r="G7" s="633"/>
      <c r="H7" s="32"/>
    </row>
    <row r="8" spans="1:8" ht="16.5" thickBot="1" x14ac:dyDescent="0.3">
      <c r="A8" s="392" t="s">
        <v>9</v>
      </c>
      <c r="B8" s="612" t="s">
        <v>203</v>
      </c>
      <c r="C8" s="613"/>
      <c r="D8" s="613"/>
      <c r="E8" s="613"/>
      <c r="F8" s="613"/>
      <c r="G8" s="614"/>
      <c r="H8" s="32"/>
    </row>
    <row r="9" spans="1:8" ht="15.75" thickBot="1" x14ac:dyDescent="0.3">
      <c r="A9" s="23"/>
      <c r="B9" s="24"/>
      <c r="C9" s="22"/>
      <c r="D9" s="22"/>
      <c r="E9" s="22"/>
      <c r="F9" s="22"/>
      <c r="G9" s="22"/>
      <c r="H9" s="33"/>
    </row>
    <row r="10" spans="1:8" ht="34.5" thickBot="1" x14ac:dyDescent="0.3">
      <c r="A10" s="28"/>
      <c r="B10" s="26" t="s">
        <v>0</v>
      </c>
      <c r="C10" s="26" t="s">
        <v>14</v>
      </c>
      <c r="D10" s="26" t="s">
        <v>23</v>
      </c>
      <c r="E10" s="26" t="s">
        <v>18</v>
      </c>
      <c r="F10" s="26" t="s">
        <v>10</v>
      </c>
      <c r="G10" s="27" t="s">
        <v>1</v>
      </c>
      <c r="H10" s="34" t="s">
        <v>36</v>
      </c>
    </row>
    <row r="11" spans="1:8" ht="15.75" thickBot="1" x14ac:dyDescent="0.3">
      <c r="A11" s="511" t="s">
        <v>21</v>
      </c>
      <c r="B11" s="512"/>
      <c r="C11" s="512"/>
      <c r="D11" s="512"/>
      <c r="E11" s="512"/>
      <c r="F11" s="512"/>
      <c r="G11" s="513"/>
      <c r="H11" s="35"/>
    </row>
    <row r="12" spans="1:8" ht="16.5" thickBot="1" x14ac:dyDescent="0.3">
      <c r="A12" s="615" t="s">
        <v>24</v>
      </c>
      <c r="B12" s="616"/>
      <c r="C12" s="616"/>
      <c r="D12" s="616"/>
      <c r="E12" s="616"/>
      <c r="F12" s="616"/>
      <c r="G12" s="617"/>
      <c r="H12" s="36"/>
    </row>
    <row r="13" spans="1:8" ht="32.25" thickBot="1" x14ac:dyDescent="0.3">
      <c r="A13" s="393" t="s">
        <v>205</v>
      </c>
      <c r="B13" s="137" t="s">
        <v>66</v>
      </c>
      <c r="C13" s="137">
        <v>1200</v>
      </c>
      <c r="D13" s="134">
        <v>9</v>
      </c>
      <c r="E13" s="134">
        <f>SUM(C13*D13)</f>
        <v>10800</v>
      </c>
      <c r="F13" s="154" t="s">
        <v>50</v>
      </c>
      <c r="G13" s="394"/>
      <c r="H13" s="200" t="e">
        <f>IF(F13=0,"  ",VLOOKUP(F13,[15]Sheet1!$A$1:$B$8,2,FALSE))</f>
        <v>#REF!</v>
      </c>
    </row>
    <row r="14" spans="1:8" ht="32.25" thickBot="1" x14ac:dyDescent="0.3">
      <c r="A14" s="393" t="s">
        <v>207</v>
      </c>
      <c r="B14" s="137" t="s">
        <v>66</v>
      </c>
      <c r="C14" s="137">
        <v>1200</v>
      </c>
      <c r="D14" s="134">
        <v>9</v>
      </c>
      <c r="E14" s="134">
        <f>SUM(C14*D14)</f>
        <v>10800</v>
      </c>
      <c r="F14" s="154" t="s">
        <v>50</v>
      </c>
      <c r="G14" s="394"/>
      <c r="H14" s="200"/>
    </row>
    <row r="15" spans="1:8" ht="32.25" thickBot="1" x14ac:dyDescent="0.3">
      <c r="A15" s="395" t="s">
        <v>208</v>
      </c>
      <c r="B15" s="137" t="s">
        <v>66</v>
      </c>
      <c r="C15" s="137">
        <v>1200</v>
      </c>
      <c r="D15" s="134">
        <v>9</v>
      </c>
      <c r="E15" s="134">
        <f>SUM(C15*D15)</f>
        <v>10800</v>
      </c>
      <c r="F15" s="154" t="s">
        <v>50</v>
      </c>
      <c r="G15" s="394"/>
      <c r="H15" s="200"/>
    </row>
    <row r="16" spans="1:8" ht="32.25" thickBot="1" x14ac:dyDescent="0.3">
      <c r="A16" s="395" t="s">
        <v>209</v>
      </c>
      <c r="B16" s="137" t="s">
        <v>66</v>
      </c>
      <c r="C16" s="137">
        <v>1200</v>
      </c>
      <c r="D16" s="134">
        <v>9</v>
      </c>
      <c r="E16" s="134">
        <f>SUM(C16*D16)</f>
        <v>10800</v>
      </c>
      <c r="F16" s="154" t="s">
        <v>50</v>
      </c>
      <c r="G16" s="394"/>
      <c r="H16" s="200"/>
    </row>
    <row r="17" spans="1:8" ht="15.75" thickBot="1" x14ac:dyDescent="0.3">
      <c r="A17" s="202"/>
      <c r="B17" s="196"/>
      <c r="C17" s="196"/>
      <c r="D17" s="197"/>
      <c r="E17" s="197"/>
      <c r="F17" s="198"/>
      <c r="G17" s="199"/>
      <c r="H17" s="200"/>
    </row>
    <row r="18" spans="1:8" ht="16.5" thickBot="1" x14ac:dyDescent="0.3">
      <c r="A18" s="606" t="s">
        <v>328</v>
      </c>
      <c r="B18" s="607"/>
      <c r="C18" s="607"/>
      <c r="D18" s="618"/>
      <c r="E18" s="396">
        <f>SUM(E13:E17)</f>
        <v>43200</v>
      </c>
      <c r="F18" s="198"/>
      <c r="G18" s="204"/>
      <c r="H18" s="200" t="str">
        <f>IF(F18=0," ",VLOOKUP(F18,[15]Sheet1!$A$1:$B$8,2,FALSE))</f>
        <v xml:space="preserve"> </v>
      </c>
    </row>
    <row r="19" spans="1:8" ht="16.5" thickBot="1" x14ac:dyDescent="0.3">
      <c r="A19" s="619" t="s">
        <v>698</v>
      </c>
      <c r="B19" s="620"/>
      <c r="C19" s="620"/>
      <c r="D19" s="620"/>
      <c r="E19" s="620"/>
      <c r="F19" s="620"/>
      <c r="G19" s="621"/>
      <c r="H19" s="37"/>
    </row>
    <row r="20" spans="1:8" ht="102" thickBot="1" x14ac:dyDescent="0.3">
      <c r="A20" s="397" t="s">
        <v>699</v>
      </c>
      <c r="B20" s="139" t="s">
        <v>219</v>
      </c>
      <c r="C20" s="139">
        <v>2</v>
      </c>
      <c r="D20" s="140">
        <v>500</v>
      </c>
      <c r="E20" s="140">
        <f>C20*D20</f>
        <v>1000</v>
      </c>
      <c r="F20" s="398" t="s">
        <v>57</v>
      </c>
      <c r="G20" s="199"/>
      <c r="H20" s="200" t="str">
        <f>IF(F20=0," ",VLOOKUP(F20,[15]Sheet1!$A$1:$B$8,2,FALSE))</f>
        <v>Include a reference to the relevant article of the project contract.
Examples of costs: information/publicity, translations, specific evaluation, audits, charges for financial transactions, etc.</v>
      </c>
    </row>
    <row r="21" spans="1:8" ht="16.5" thickBot="1" x14ac:dyDescent="0.3">
      <c r="A21" s="136"/>
      <c r="B21" s="139"/>
      <c r="C21" s="139"/>
      <c r="D21" s="140"/>
      <c r="E21" s="140"/>
      <c r="F21" s="198"/>
      <c r="G21" s="206"/>
      <c r="H21" s="200" t="str">
        <f>IF(F21=0," ",VLOOKUP(F21,[15]Sheet1!$A$1:$B$8,2,FALSE))</f>
        <v xml:space="preserve"> </v>
      </c>
    </row>
    <row r="22" spans="1:8" ht="16.5" thickBot="1" x14ac:dyDescent="0.3">
      <c r="A22" s="544" t="s">
        <v>348</v>
      </c>
      <c r="B22" s="545"/>
      <c r="C22" s="545"/>
      <c r="D22" s="546"/>
      <c r="E22" s="135">
        <f>SUM(E20:E21)</f>
        <v>1000</v>
      </c>
      <c r="F22" s="12"/>
      <c r="G22" s="93"/>
      <c r="H22" s="25" t="str">
        <f>IF(F22=0," ",VLOOKUP(F22,[15]Sheet1!$A$1:$B$8,2,FALSE))</f>
        <v xml:space="preserve"> </v>
      </c>
    </row>
    <row r="23" spans="1:8" ht="16.5" thickBot="1" x14ac:dyDescent="0.3">
      <c r="A23" s="600" t="s">
        <v>700</v>
      </c>
      <c r="B23" s="601"/>
      <c r="C23" s="601"/>
      <c r="D23" s="601"/>
      <c r="E23" s="601"/>
      <c r="F23" s="601"/>
      <c r="G23" s="602"/>
      <c r="H23" s="37"/>
    </row>
    <row r="24" spans="1:8" ht="63.75" thickBot="1" x14ac:dyDescent="0.3">
      <c r="A24" s="136" t="s">
        <v>224</v>
      </c>
      <c r="B24" s="139" t="s">
        <v>225</v>
      </c>
      <c r="C24" s="139">
        <v>500</v>
      </c>
      <c r="D24" s="140">
        <v>9</v>
      </c>
      <c r="E24" s="140">
        <f>C24*D24</f>
        <v>4500</v>
      </c>
      <c r="F24" s="398" t="s">
        <v>56</v>
      </c>
      <c r="G24" s="399"/>
      <c r="H24" s="210" t="str">
        <f>IF(F24=0," ",VLOOKUP(F24,[15]Sheet1!$A$1:$B$8,2,FALSE))</f>
        <v>Awarding should comply with the applicable rules on public procurement  (Regulations Art. 8.15).</v>
      </c>
    </row>
    <row r="25" spans="1:8" ht="63.75" thickBot="1" x14ac:dyDescent="0.3">
      <c r="A25" s="136" t="s">
        <v>701</v>
      </c>
      <c r="B25" s="139" t="s">
        <v>212</v>
      </c>
      <c r="C25" s="139">
        <v>264</v>
      </c>
      <c r="D25" s="140">
        <v>22</v>
      </c>
      <c r="E25" s="140">
        <f t="shared" ref="E25:E40" si="0">C25*D25</f>
        <v>5808</v>
      </c>
      <c r="F25" s="398" t="s">
        <v>51</v>
      </c>
      <c r="G25" s="399"/>
      <c r="H25" s="210"/>
    </row>
    <row r="26" spans="1:8" ht="63.75" thickBot="1" x14ac:dyDescent="0.3">
      <c r="A26" s="136" t="s">
        <v>702</v>
      </c>
      <c r="B26" s="139" t="s">
        <v>212</v>
      </c>
      <c r="C26" s="139">
        <v>176</v>
      </c>
      <c r="D26" s="140">
        <v>22</v>
      </c>
      <c r="E26" s="140">
        <f t="shared" si="0"/>
        <v>3872</v>
      </c>
      <c r="F26" s="398" t="s">
        <v>51</v>
      </c>
      <c r="G26" s="399"/>
      <c r="H26" s="210"/>
    </row>
    <row r="27" spans="1:8" ht="48" thickBot="1" x14ac:dyDescent="0.3">
      <c r="A27" s="136" t="s">
        <v>703</v>
      </c>
      <c r="B27" s="139" t="s">
        <v>214</v>
      </c>
      <c r="C27" s="139">
        <v>88</v>
      </c>
      <c r="D27" s="140">
        <v>40</v>
      </c>
      <c r="E27" s="140">
        <f t="shared" si="0"/>
        <v>3520</v>
      </c>
      <c r="F27" s="398" t="s">
        <v>51</v>
      </c>
      <c r="G27" s="399"/>
      <c r="H27" s="210"/>
    </row>
    <row r="28" spans="1:8" ht="63.75" thickBot="1" x14ac:dyDescent="0.3">
      <c r="A28" s="136" t="s">
        <v>704</v>
      </c>
      <c r="B28" s="139" t="s">
        <v>212</v>
      </c>
      <c r="C28" s="139">
        <v>6</v>
      </c>
      <c r="D28" s="140">
        <v>500</v>
      </c>
      <c r="E28" s="140">
        <f t="shared" si="0"/>
        <v>3000</v>
      </c>
      <c r="F28" s="398" t="s">
        <v>56</v>
      </c>
      <c r="G28" s="399"/>
      <c r="H28" s="210"/>
    </row>
    <row r="29" spans="1:8" ht="63.75" thickBot="1" x14ac:dyDescent="0.3">
      <c r="A29" s="136" t="s">
        <v>705</v>
      </c>
      <c r="B29" s="139" t="s">
        <v>215</v>
      </c>
      <c r="C29" s="139">
        <v>540</v>
      </c>
      <c r="D29" s="140">
        <v>4</v>
      </c>
      <c r="E29" s="140">
        <f t="shared" si="0"/>
        <v>2160</v>
      </c>
      <c r="F29" s="398" t="s">
        <v>56</v>
      </c>
      <c r="G29" s="399"/>
      <c r="H29" s="210"/>
    </row>
    <row r="30" spans="1:8" ht="63.75" thickBot="1" x14ac:dyDescent="0.3">
      <c r="A30" s="136" t="s">
        <v>706</v>
      </c>
      <c r="B30" s="139" t="s">
        <v>212</v>
      </c>
      <c r="C30" s="139">
        <v>16</v>
      </c>
      <c r="D30" s="140">
        <v>60</v>
      </c>
      <c r="E30" s="140">
        <f t="shared" si="0"/>
        <v>960</v>
      </c>
      <c r="F30" s="398" t="s">
        <v>57</v>
      </c>
      <c r="G30" s="399"/>
      <c r="H30" s="210"/>
    </row>
    <row r="31" spans="1:8" ht="63.75" thickBot="1" x14ac:dyDescent="0.3">
      <c r="A31" s="136" t="s">
        <v>707</v>
      </c>
      <c r="B31" s="139" t="s">
        <v>212</v>
      </c>
      <c r="C31" s="139">
        <v>6</v>
      </c>
      <c r="D31" s="140">
        <v>400</v>
      </c>
      <c r="E31" s="140">
        <f t="shared" si="0"/>
        <v>2400</v>
      </c>
      <c r="F31" s="398" t="s">
        <v>56</v>
      </c>
      <c r="G31" s="399"/>
      <c r="H31" s="210"/>
    </row>
    <row r="32" spans="1:8" ht="48" thickBot="1" x14ac:dyDescent="0.3">
      <c r="A32" s="136" t="s">
        <v>708</v>
      </c>
      <c r="B32" s="139" t="s">
        <v>212</v>
      </c>
      <c r="C32" s="139">
        <v>8</v>
      </c>
      <c r="D32" s="140">
        <v>175</v>
      </c>
      <c r="E32" s="140">
        <f t="shared" si="0"/>
        <v>1400</v>
      </c>
      <c r="F32" s="398" t="s">
        <v>51</v>
      </c>
      <c r="G32" s="399"/>
      <c r="H32" s="210"/>
    </row>
    <row r="33" spans="1:8" ht="48" thickBot="1" x14ac:dyDescent="0.3">
      <c r="A33" s="136" t="s">
        <v>709</v>
      </c>
      <c r="B33" s="139" t="s">
        <v>391</v>
      </c>
      <c r="C33" s="139">
        <v>2</v>
      </c>
      <c r="D33" s="140">
        <v>700</v>
      </c>
      <c r="E33" s="140">
        <f t="shared" si="0"/>
        <v>1400</v>
      </c>
      <c r="F33" s="398" t="s">
        <v>51</v>
      </c>
      <c r="G33" s="399"/>
      <c r="H33" s="210"/>
    </row>
    <row r="34" spans="1:8" ht="63.75" thickBot="1" x14ac:dyDescent="0.3">
      <c r="A34" s="136" t="s">
        <v>710</v>
      </c>
      <c r="B34" s="139" t="s">
        <v>212</v>
      </c>
      <c r="C34" s="139">
        <v>8</v>
      </c>
      <c r="D34" s="140">
        <v>450</v>
      </c>
      <c r="E34" s="140">
        <f t="shared" si="0"/>
        <v>3600</v>
      </c>
      <c r="F34" s="398" t="s">
        <v>57</v>
      </c>
      <c r="G34" s="399"/>
      <c r="H34" s="210"/>
    </row>
    <row r="35" spans="1:8" ht="48" thickBot="1" x14ac:dyDescent="0.3">
      <c r="A35" s="136" t="s">
        <v>711</v>
      </c>
      <c r="B35" s="139" t="s">
        <v>212</v>
      </c>
      <c r="C35" s="139">
        <v>1080</v>
      </c>
      <c r="D35" s="140">
        <v>22</v>
      </c>
      <c r="E35" s="140">
        <f t="shared" si="0"/>
        <v>23760</v>
      </c>
      <c r="F35" s="398" t="s">
        <v>51</v>
      </c>
      <c r="G35" s="399"/>
      <c r="H35" s="210"/>
    </row>
    <row r="36" spans="1:8" ht="63.75" thickBot="1" x14ac:dyDescent="0.3">
      <c r="A36" s="136" t="s">
        <v>712</v>
      </c>
      <c r="B36" s="139" t="s">
        <v>212</v>
      </c>
      <c r="C36" s="139">
        <v>720</v>
      </c>
      <c r="D36" s="140">
        <v>22</v>
      </c>
      <c r="E36" s="140">
        <f t="shared" si="0"/>
        <v>15840</v>
      </c>
      <c r="F36" s="398" t="s">
        <v>51</v>
      </c>
      <c r="G36" s="399"/>
      <c r="H36" s="210"/>
    </row>
    <row r="37" spans="1:8" ht="48" thickBot="1" x14ac:dyDescent="0.3">
      <c r="A37" s="136" t="s">
        <v>713</v>
      </c>
      <c r="B37" s="139" t="s">
        <v>214</v>
      </c>
      <c r="C37" s="139">
        <v>360</v>
      </c>
      <c r="D37" s="140">
        <v>40</v>
      </c>
      <c r="E37" s="140">
        <f t="shared" si="0"/>
        <v>14400</v>
      </c>
      <c r="F37" s="398" t="s">
        <v>51</v>
      </c>
      <c r="G37" s="399"/>
      <c r="H37" s="210"/>
    </row>
    <row r="38" spans="1:8" ht="63.75" thickBot="1" x14ac:dyDescent="0.3">
      <c r="A38" s="136" t="s">
        <v>714</v>
      </c>
      <c r="B38" s="139" t="s">
        <v>212</v>
      </c>
      <c r="C38" s="139">
        <v>24</v>
      </c>
      <c r="D38" s="140">
        <v>500</v>
      </c>
      <c r="E38" s="140">
        <f t="shared" si="0"/>
        <v>12000</v>
      </c>
      <c r="F38" s="398" t="s">
        <v>56</v>
      </c>
      <c r="G38" s="399"/>
      <c r="H38" s="210"/>
    </row>
    <row r="39" spans="1:8" ht="63.75" thickBot="1" x14ac:dyDescent="0.3">
      <c r="A39" s="136" t="s">
        <v>715</v>
      </c>
      <c r="B39" s="139" t="s">
        <v>212</v>
      </c>
      <c r="C39" s="139">
        <v>64</v>
      </c>
      <c r="D39" s="140">
        <v>60</v>
      </c>
      <c r="E39" s="140">
        <f t="shared" si="0"/>
        <v>3840</v>
      </c>
      <c r="F39" s="398" t="s">
        <v>57</v>
      </c>
      <c r="G39" s="399"/>
      <c r="H39" s="210"/>
    </row>
    <row r="40" spans="1:8" ht="63.75" thickBot="1" x14ac:dyDescent="0.3">
      <c r="A40" s="136" t="s">
        <v>716</v>
      </c>
      <c r="B40" s="139" t="s">
        <v>215</v>
      </c>
      <c r="C40" s="139">
        <v>2160</v>
      </c>
      <c r="D40" s="140">
        <v>4</v>
      </c>
      <c r="E40" s="140">
        <f t="shared" si="0"/>
        <v>8640</v>
      </c>
      <c r="F40" s="398" t="s">
        <v>56</v>
      </c>
      <c r="G40" s="399"/>
      <c r="H40" s="210"/>
    </row>
    <row r="41" spans="1:8" ht="16.5" thickBot="1" x14ac:dyDescent="0.3">
      <c r="A41" s="136"/>
      <c r="B41" s="139"/>
      <c r="C41" s="139"/>
      <c r="D41" s="140"/>
      <c r="E41" s="140"/>
      <c r="F41" s="398"/>
      <c r="G41" s="399"/>
      <c r="H41" s="210"/>
    </row>
    <row r="42" spans="1:8" ht="16.5" thickBot="1" x14ac:dyDescent="0.3">
      <c r="A42" s="606" t="s">
        <v>358</v>
      </c>
      <c r="B42" s="607"/>
      <c r="C42" s="607"/>
      <c r="D42" s="608"/>
      <c r="E42" s="396">
        <f>SUM(E24:E41)</f>
        <v>111100</v>
      </c>
      <c r="F42" s="398"/>
      <c r="G42" s="399"/>
      <c r="H42" s="25" t="str">
        <f>IF(F42=0," ",VLOOKUP(F42,[15]Sheet1!$A$1:$B$8,2,FALSE))</f>
        <v xml:space="preserve"> </v>
      </c>
    </row>
    <row r="43" spans="1:8" ht="16.5" thickBot="1" x14ac:dyDescent="0.3">
      <c r="A43" s="609" t="s">
        <v>717</v>
      </c>
      <c r="B43" s="610"/>
      <c r="C43" s="610"/>
      <c r="D43" s="610"/>
      <c r="E43" s="610"/>
      <c r="F43" s="610"/>
      <c r="G43" s="611"/>
      <c r="H43" s="37"/>
    </row>
    <row r="44" spans="1:8" ht="48" thickBot="1" x14ac:dyDescent="0.3">
      <c r="A44" s="136" t="s">
        <v>383</v>
      </c>
      <c r="B44" s="153" t="s">
        <v>212</v>
      </c>
      <c r="C44" s="139">
        <v>696</v>
      </c>
      <c r="D44" s="140">
        <v>22</v>
      </c>
      <c r="E44" s="140">
        <f>C44*D44</f>
        <v>15312</v>
      </c>
      <c r="F44" s="398" t="s">
        <v>51</v>
      </c>
      <c r="G44" s="399"/>
      <c r="H44" s="210" t="str">
        <f>IF(F44=0," ",VLOOKUP(F44,[15]Sheet1!$A$1:$B$8,2,FALSE))</f>
        <v>If lump sums, include a reference to the defined rules approved by the PO.</v>
      </c>
    </row>
    <row r="45" spans="1:8" ht="63.75" thickBot="1" x14ac:dyDescent="0.3">
      <c r="A45" s="136" t="s">
        <v>384</v>
      </c>
      <c r="B45" s="153" t="s">
        <v>212</v>
      </c>
      <c r="C45" s="139">
        <v>464</v>
      </c>
      <c r="D45" s="140">
        <v>22</v>
      </c>
      <c r="E45" s="140">
        <f t="shared" ref="E45:E51" si="1">C45*D45</f>
        <v>10208</v>
      </c>
      <c r="F45" s="398" t="s">
        <v>51</v>
      </c>
      <c r="G45" s="399"/>
      <c r="H45" s="210"/>
    </row>
    <row r="46" spans="1:8" ht="63.75" thickBot="1" x14ac:dyDescent="0.3">
      <c r="A46" s="136" t="s">
        <v>385</v>
      </c>
      <c r="B46" s="153" t="s">
        <v>212</v>
      </c>
      <c r="C46" s="139">
        <v>56</v>
      </c>
      <c r="D46" s="140">
        <v>60</v>
      </c>
      <c r="E46" s="140">
        <f t="shared" si="1"/>
        <v>3360</v>
      </c>
      <c r="F46" s="398" t="s">
        <v>57</v>
      </c>
      <c r="G46" s="399"/>
      <c r="H46" s="210"/>
    </row>
    <row r="47" spans="1:8" ht="48" thickBot="1" x14ac:dyDescent="0.3">
      <c r="A47" s="136" t="s">
        <v>386</v>
      </c>
      <c r="B47" s="153" t="s">
        <v>214</v>
      </c>
      <c r="C47" s="139">
        <v>232</v>
      </c>
      <c r="D47" s="140">
        <v>40</v>
      </c>
      <c r="E47" s="140">
        <f t="shared" si="1"/>
        <v>9280</v>
      </c>
      <c r="F47" s="398" t="s">
        <v>51</v>
      </c>
      <c r="G47" s="399"/>
      <c r="H47" s="210"/>
    </row>
    <row r="48" spans="1:8" ht="63.75" thickBot="1" x14ac:dyDescent="0.3">
      <c r="A48" s="136" t="s">
        <v>387</v>
      </c>
      <c r="B48" s="153" t="s">
        <v>212</v>
      </c>
      <c r="C48" s="139">
        <v>12</v>
      </c>
      <c r="D48" s="140">
        <v>500</v>
      </c>
      <c r="E48" s="140">
        <f t="shared" si="1"/>
        <v>6000</v>
      </c>
      <c r="F48" s="398" t="s">
        <v>56</v>
      </c>
      <c r="G48" s="399"/>
      <c r="H48" s="210"/>
    </row>
    <row r="49" spans="1:8" ht="63.75" thickBot="1" x14ac:dyDescent="0.3">
      <c r="A49" s="136" t="s">
        <v>388</v>
      </c>
      <c r="B49" s="153" t="s">
        <v>215</v>
      </c>
      <c r="C49" s="139">
        <v>1392</v>
      </c>
      <c r="D49" s="140">
        <v>4</v>
      </c>
      <c r="E49" s="140">
        <f t="shared" si="1"/>
        <v>5568</v>
      </c>
      <c r="F49" s="398" t="s">
        <v>56</v>
      </c>
      <c r="G49" s="399"/>
      <c r="H49" s="210"/>
    </row>
    <row r="50" spans="1:8" ht="63.75" thickBot="1" x14ac:dyDescent="0.3">
      <c r="A50" s="136" t="s">
        <v>389</v>
      </c>
      <c r="B50" s="153" t="s">
        <v>221</v>
      </c>
      <c r="C50" s="139">
        <v>3</v>
      </c>
      <c r="D50" s="140">
        <v>500</v>
      </c>
      <c r="E50" s="140">
        <f t="shared" si="1"/>
        <v>1500</v>
      </c>
      <c r="F50" s="398" t="s">
        <v>57</v>
      </c>
      <c r="G50" s="399"/>
      <c r="H50" s="210"/>
    </row>
    <row r="51" spans="1:8" ht="63.75" thickBot="1" x14ac:dyDescent="0.3">
      <c r="A51" s="136" t="s">
        <v>390</v>
      </c>
      <c r="B51" s="153" t="s">
        <v>223</v>
      </c>
      <c r="C51" s="139">
        <v>1000</v>
      </c>
      <c r="D51" s="140">
        <v>8</v>
      </c>
      <c r="E51" s="140">
        <f t="shared" si="1"/>
        <v>8000</v>
      </c>
      <c r="F51" s="398" t="s">
        <v>56</v>
      </c>
      <c r="G51" s="399"/>
      <c r="H51" s="210"/>
    </row>
    <row r="52" spans="1:8" ht="16.5" thickBot="1" x14ac:dyDescent="0.3">
      <c r="A52" s="136"/>
      <c r="B52" s="139"/>
      <c r="C52" s="139"/>
      <c r="D52" s="140"/>
      <c r="E52" s="140"/>
      <c r="F52" s="398"/>
      <c r="G52" s="399"/>
      <c r="H52" s="210" t="str">
        <f>IF(F52=0," ",VLOOKUP(F52,[15]Sheet1!$A$1:$B$8,2,FALSE))</f>
        <v xml:space="preserve"> </v>
      </c>
    </row>
    <row r="53" spans="1:8" ht="16.5" thickBot="1" x14ac:dyDescent="0.3">
      <c r="A53" s="606" t="s">
        <v>5</v>
      </c>
      <c r="B53" s="607"/>
      <c r="C53" s="607"/>
      <c r="D53" s="608"/>
      <c r="E53" s="396">
        <f>SUM(E44:E52)</f>
        <v>59228</v>
      </c>
      <c r="F53" s="398"/>
      <c r="G53" s="399"/>
      <c r="H53" s="25" t="str">
        <f>IF(F53=0," ",VLOOKUP(F53,[15]Sheet1!$A$1:$B$8,2,FALSE))</f>
        <v xml:space="preserve"> </v>
      </c>
    </row>
    <row r="54" spans="1:8" ht="16.5" thickBot="1" x14ac:dyDescent="0.3">
      <c r="A54" s="603" t="s">
        <v>718</v>
      </c>
      <c r="B54" s="604"/>
      <c r="C54" s="604"/>
      <c r="D54" s="604"/>
      <c r="E54" s="604"/>
      <c r="F54" s="604"/>
      <c r="G54" s="605"/>
      <c r="H54" s="37"/>
    </row>
    <row r="55" spans="1:8" ht="16.5" thickBot="1" x14ac:dyDescent="0.3">
      <c r="A55" s="136"/>
      <c r="B55" s="153"/>
      <c r="C55" s="139"/>
      <c r="D55" s="140"/>
      <c r="E55" s="140"/>
      <c r="F55" s="398"/>
      <c r="G55" s="399"/>
      <c r="H55" s="25" t="str">
        <f>IF(F55=0," ",VLOOKUP(F55,[15]Sheet1!$A$1:$B$8,2,FALSE))</f>
        <v xml:space="preserve"> </v>
      </c>
    </row>
    <row r="56" spans="1:8" ht="16.5" thickBot="1" x14ac:dyDescent="0.3">
      <c r="A56" s="136"/>
      <c r="B56" s="153"/>
      <c r="C56" s="139"/>
      <c r="D56" s="140"/>
      <c r="E56" s="140"/>
      <c r="F56" s="398"/>
      <c r="G56" s="399"/>
      <c r="H56" s="25"/>
    </row>
    <row r="57" spans="1:8" ht="16.5" thickBot="1" x14ac:dyDescent="0.3">
      <c r="A57" s="606" t="s">
        <v>6</v>
      </c>
      <c r="B57" s="607"/>
      <c r="C57" s="607"/>
      <c r="D57" s="608"/>
      <c r="E57" s="396">
        <f>SUM(E55:E56)</f>
        <v>0</v>
      </c>
      <c r="F57" s="398"/>
      <c r="G57" s="399"/>
      <c r="H57" s="25" t="str">
        <f>IF(F57=0," ",VLOOKUP(F57,[15]Sheet1!$A$1:$B$8,2,FALSE))</f>
        <v xml:space="preserve"> </v>
      </c>
    </row>
    <row r="58" spans="1:8" ht="16.5" thickBot="1" x14ac:dyDescent="0.3">
      <c r="A58" s="603" t="s">
        <v>719</v>
      </c>
      <c r="B58" s="604"/>
      <c r="C58" s="604"/>
      <c r="D58" s="604"/>
      <c r="E58" s="604"/>
      <c r="F58" s="604"/>
      <c r="G58" s="605"/>
      <c r="H58" s="37"/>
    </row>
    <row r="59" spans="1:8" ht="102" thickBot="1" x14ac:dyDescent="0.3">
      <c r="A59" s="136" t="s">
        <v>743</v>
      </c>
      <c r="B59" s="139" t="s">
        <v>219</v>
      </c>
      <c r="C59" s="139">
        <v>1</v>
      </c>
      <c r="D59" s="140">
        <v>241520</v>
      </c>
      <c r="E59" s="140">
        <f>C59*D59</f>
        <v>241520</v>
      </c>
      <c r="F59" s="398" t="s">
        <v>57</v>
      </c>
      <c r="G59" s="399"/>
      <c r="H59" s="210" t="str">
        <f>IF(F59=0," ",VLOOKUP(F59,[15]Sheet1!$A$1:$B$8,2,FALSE))</f>
        <v>Include a reference to the relevant article of the project contract.
Examples of costs: information/publicity, translations, specific evaluation, audits, charges for financial transactions, etc.</v>
      </c>
    </row>
    <row r="60" spans="1:8" ht="16.5" thickBot="1" x14ac:dyDescent="0.3">
      <c r="A60" s="136"/>
      <c r="B60" s="139"/>
      <c r="C60" s="139"/>
      <c r="D60" s="400"/>
      <c r="E60" s="140"/>
      <c r="F60" s="398"/>
      <c r="G60" s="399"/>
      <c r="H60" s="210"/>
    </row>
    <row r="61" spans="1:8" ht="16.5" thickBot="1" x14ac:dyDescent="0.3">
      <c r="A61" s="136"/>
      <c r="B61" s="148"/>
      <c r="C61" s="139"/>
      <c r="D61" s="140"/>
      <c r="E61" s="140"/>
      <c r="F61" s="398"/>
      <c r="G61" s="399"/>
      <c r="H61" s="210" t="str">
        <f>IF(F61=0," ",VLOOKUP(F61,[15]Sheet1!$A$1:$B$8,2,FALSE))</f>
        <v xml:space="preserve"> </v>
      </c>
    </row>
    <row r="62" spans="1:8" ht="16.5" thickBot="1" x14ac:dyDescent="0.3">
      <c r="A62" s="606" t="s">
        <v>123</v>
      </c>
      <c r="B62" s="607"/>
      <c r="C62" s="607"/>
      <c r="D62" s="608"/>
      <c r="E62" s="396">
        <f>SUM(E59:E61)</f>
        <v>241520</v>
      </c>
      <c r="F62" s="398"/>
      <c r="G62" s="399"/>
      <c r="H62" s="25" t="str">
        <f>IF(F62=0," ",VLOOKUP(F62,[15]Sheet1!$A$1:$B$8,2,FALSE))</f>
        <v xml:space="preserve"> </v>
      </c>
    </row>
    <row r="63" spans="1:8" ht="16.5" thickBot="1" x14ac:dyDescent="0.3">
      <c r="A63" s="603" t="s">
        <v>720</v>
      </c>
      <c r="B63" s="604"/>
      <c r="C63" s="604"/>
      <c r="D63" s="604"/>
      <c r="E63" s="604"/>
      <c r="F63" s="604"/>
      <c r="G63" s="605"/>
      <c r="H63" s="37"/>
    </row>
    <row r="64" spans="1:8" ht="48" thickBot="1" x14ac:dyDescent="0.3">
      <c r="A64" s="136" t="s">
        <v>721</v>
      </c>
      <c r="B64" s="139" t="s">
        <v>212</v>
      </c>
      <c r="C64" s="139">
        <v>264</v>
      </c>
      <c r="D64" s="140">
        <v>22</v>
      </c>
      <c r="E64" s="140">
        <f>C64*D64</f>
        <v>5808</v>
      </c>
      <c r="F64" s="398" t="s">
        <v>51</v>
      </c>
      <c r="G64" s="399"/>
      <c r="H64" s="210" t="str">
        <f>IF(F64=0," ",VLOOKUP(F64,[15]Sheet1!$A$1:$B$8,2,FALSE))</f>
        <v>If lump sums, include a reference to the defined rules approved by the PO.</v>
      </c>
    </row>
    <row r="65" spans="1:8" ht="48" thickBot="1" x14ac:dyDescent="0.3">
      <c r="A65" s="136" t="s">
        <v>722</v>
      </c>
      <c r="B65" s="139" t="s">
        <v>212</v>
      </c>
      <c r="C65" s="139">
        <v>176</v>
      </c>
      <c r="D65" s="140">
        <v>22</v>
      </c>
      <c r="E65" s="140">
        <f t="shared" ref="E65:E79" si="2">C65*D65</f>
        <v>3872</v>
      </c>
      <c r="F65" s="398" t="s">
        <v>51</v>
      </c>
      <c r="G65" s="399"/>
      <c r="H65" s="210"/>
    </row>
    <row r="66" spans="1:8" ht="48" thickBot="1" x14ac:dyDescent="0.3">
      <c r="A66" s="136" t="s">
        <v>723</v>
      </c>
      <c r="B66" s="139" t="s">
        <v>214</v>
      </c>
      <c r="C66" s="139">
        <v>88</v>
      </c>
      <c r="D66" s="140">
        <v>40</v>
      </c>
      <c r="E66" s="140">
        <f t="shared" si="2"/>
        <v>3520</v>
      </c>
      <c r="F66" s="398" t="s">
        <v>51</v>
      </c>
      <c r="G66" s="399"/>
      <c r="H66" s="210"/>
    </row>
    <row r="67" spans="1:8" ht="63.75" thickBot="1" x14ac:dyDescent="0.3">
      <c r="A67" s="136" t="s">
        <v>724</v>
      </c>
      <c r="B67" s="139" t="s">
        <v>212</v>
      </c>
      <c r="C67" s="139">
        <v>6</v>
      </c>
      <c r="D67" s="140">
        <v>500</v>
      </c>
      <c r="E67" s="140">
        <f t="shared" si="2"/>
        <v>3000</v>
      </c>
      <c r="F67" s="398" t="s">
        <v>56</v>
      </c>
      <c r="G67" s="399"/>
      <c r="H67" s="210"/>
    </row>
    <row r="68" spans="1:8" ht="63.75" thickBot="1" x14ac:dyDescent="0.3">
      <c r="A68" s="136" t="s">
        <v>725</v>
      </c>
      <c r="B68" s="139" t="s">
        <v>215</v>
      </c>
      <c r="C68" s="139">
        <v>552</v>
      </c>
      <c r="D68" s="140">
        <v>4</v>
      </c>
      <c r="E68" s="140">
        <f t="shared" si="2"/>
        <v>2208</v>
      </c>
      <c r="F68" s="398" t="s">
        <v>56</v>
      </c>
      <c r="G68" s="399"/>
      <c r="H68" s="210"/>
    </row>
    <row r="69" spans="1:8" ht="63.75" thickBot="1" x14ac:dyDescent="0.3">
      <c r="A69" s="136" t="s">
        <v>726</v>
      </c>
      <c r="B69" s="139" t="s">
        <v>212</v>
      </c>
      <c r="C69" s="139">
        <v>16</v>
      </c>
      <c r="D69" s="140">
        <v>60</v>
      </c>
      <c r="E69" s="140">
        <f t="shared" si="2"/>
        <v>960</v>
      </c>
      <c r="F69" s="398" t="s">
        <v>57</v>
      </c>
      <c r="G69" s="399"/>
      <c r="H69" s="210"/>
    </row>
    <row r="70" spans="1:8" ht="63.75" thickBot="1" x14ac:dyDescent="0.3">
      <c r="A70" s="136" t="s">
        <v>727</v>
      </c>
      <c r="B70" s="139" t="s">
        <v>212</v>
      </c>
      <c r="C70" s="139">
        <v>6</v>
      </c>
      <c r="D70" s="140">
        <v>400</v>
      </c>
      <c r="E70" s="140">
        <f t="shared" si="2"/>
        <v>2400</v>
      </c>
      <c r="F70" s="398" t="s">
        <v>56</v>
      </c>
      <c r="G70" s="399"/>
      <c r="H70" s="210"/>
    </row>
    <row r="71" spans="1:8" ht="48" thickBot="1" x14ac:dyDescent="0.3">
      <c r="A71" s="136" t="s">
        <v>728</v>
      </c>
      <c r="B71" s="139" t="s">
        <v>212</v>
      </c>
      <c r="C71" s="139">
        <v>16</v>
      </c>
      <c r="D71" s="140">
        <v>175</v>
      </c>
      <c r="E71" s="140">
        <f t="shared" si="2"/>
        <v>2800</v>
      </c>
      <c r="F71" s="398" t="s">
        <v>51</v>
      </c>
      <c r="G71" s="399"/>
      <c r="H71" s="210"/>
    </row>
    <row r="72" spans="1:8" ht="48" thickBot="1" x14ac:dyDescent="0.3">
      <c r="A72" s="136" t="s">
        <v>729</v>
      </c>
      <c r="B72" s="139" t="s">
        <v>391</v>
      </c>
      <c r="C72" s="139">
        <v>2</v>
      </c>
      <c r="D72" s="140">
        <v>700</v>
      </c>
      <c r="E72" s="140">
        <f t="shared" si="2"/>
        <v>1400</v>
      </c>
      <c r="F72" s="398" t="s">
        <v>51</v>
      </c>
      <c r="G72" s="399"/>
      <c r="H72" s="210"/>
    </row>
    <row r="73" spans="1:8" ht="63.75" thickBot="1" x14ac:dyDescent="0.3">
      <c r="A73" s="136" t="s">
        <v>730</v>
      </c>
      <c r="B73" s="139" t="s">
        <v>212</v>
      </c>
      <c r="C73" s="139">
        <v>8</v>
      </c>
      <c r="D73" s="140">
        <v>450</v>
      </c>
      <c r="E73" s="140">
        <f t="shared" si="2"/>
        <v>3600</v>
      </c>
      <c r="F73" s="398" t="s">
        <v>57</v>
      </c>
      <c r="G73" s="399"/>
      <c r="H73" s="210"/>
    </row>
    <row r="74" spans="1:8" ht="48" thickBot="1" x14ac:dyDescent="0.3">
      <c r="A74" s="136" t="s">
        <v>731</v>
      </c>
      <c r="B74" s="139" t="s">
        <v>212</v>
      </c>
      <c r="C74" s="139">
        <v>1242</v>
      </c>
      <c r="D74" s="140">
        <v>22</v>
      </c>
      <c r="E74" s="140">
        <f t="shared" si="2"/>
        <v>27324</v>
      </c>
      <c r="F74" s="398" t="s">
        <v>51</v>
      </c>
      <c r="G74" s="399"/>
      <c r="H74" s="210"/>
    </row>
    <row r="75" spans="1:8" ht="63.75" thickBot="1" x14ac:dyDescent="0.3">
      <c r="A75" s="136" t="s">
        <v>732</v>
      </c>
      <c r="B75" s="139" t="s">
        <v>212</v>
      </c>
      <c r="C75" s="139">
        <v>828</v>
      </c>
      <c r="D75" s="140">
        <v>22</v>
      </c>
      <c r="E75" s="140">
        <f t="shared" si="2"/>
        <v>18216</v>
      </c>
      <c r="F75" s="398" t="s">
        <v>51</v>
      </c>
      <c r="G75" s="399"/>
      <c r="H75" s="210"/>
    </row>
    <row r="76" spans="1:8" ht="48" thickBot="1" x14ac:dyDescent="0.3">
      <c r="A76" s="136" t="s">
        <v>733</v>
      </c>
      <c r="B76" s="139" t="s">
        <v>214</v>
      </c>
      <c r="C76" s="139">
        <v>414</v>
      </c>
      <c r="D76" s="140">
        <v>40</v>
      </c>
      <c r="E76" s="140">
        <f t="shared" si="2"/>
        <v>16560</v>
      </c>
      <c r="F76" s="398" t="s">
        <v>51</v>
      </c>
      <c r="G76" s="399"/>
      <c r="H76" s="210"/>
    </row>
    <row r="77" spans="1:8" ht="63.75" thickBot="1" x14ac:dyDescent="0.3">
      <c r="A77" s="136" t="s">
        <v>734</v>
      </c>
      <c r="B77" s="139" t="s">
        <v>212</v>
      </c>
      <c r="C77" s="139">
        <v>27</v>
      </c>
      <c r="D77" s="140">
        <v>500</v>
      </c>
      <c r="E77" s="140">
        <f t="shared" si="2"/>
        <v>13500</v>
      </c>
      <c r="F77" s="398" t="s">
        <v>56</v>
      </c>
      <c r="G77" s="399"/>
      <c r="H77" s="210"/>
    </row>
    <row r="78" spans="1:8" ht="63.75" thickBot="1" x14ac:dyDescent="0.3">
      <c r="A78" s="136" t="s">
        <v>735</v>
      </c>
      <c r="B78" s="139" t="s">
        <v>212</v>
      </c>
      <c r="C78" s="139">
        <v>72</v>
      </c>
      <c r="D78" s="140">
        <v>60</v>
      </c>
      <c r="E78" s="140">
        <f t="shared" si="2"/>
        <v>4320</v>
      </c>
      <c r="F78" s="398" t="s">
        <v>57</v>
      </c>
      <c r="G78" s="399"/>
      <c r="H78" s="210"/>
    </row>
    <row r="79" spans="1:8" ht="63.75" thickBot="1" x14ac:dyDescent="0.3">
      <c r="A79" s="136" t="s">
        <v>736</v>
      </c>
      <c r="B79" s="139" t="s">
        <v>215</v>
      </c>
      <c r="C79" s="139">
        <v>2484</v>
      </c>
      <c r="D79" s="140">
        <v>4</v>
      </c>
      <c r="E79" s="140">
        <f t="shared" si="2"/>
        <v>9936</v>
      </c>
      <c r="F79" s="398" t="s">
        <v>56</v>
      </c>
      <c r="G79" s="399"/>
      <c r="H79" s="210"/>
    </row>
    <row r="80" spans="1:8" ht="16.5" thickBot="1" x14ac:dyDescent="0.3">
      <c r="A80" s="136"/>
      <c r="B80" s="148"/>
      <c r="C80" s="139"/>
      <c r="D80" s="140"/>
      <c r="E80" s="140"/>
      <c r="F80" s="398"/>
      <c r="G80" s="399"/>
      <c r="H80" s="210" t="str">
        <f>IF(F80=0," ",VLOOKUP(F80,[15]Sheet1!$A$1:$B$8,2,FALSE))</f>
        <v xml:space="preserve"> </v>
      </c>
    </row>
    <row r="81" spans="1:10" ht="16.5" thickBot="1" x14ac:dyDescent="0.3">
      <c r="A81" s="606" t="s">
        <v>126</v>
      </c>
      <c r="B81" s="607"/>
      <c r="C81" s="607"/>
      <c r="D81" s="608"/>
      <c r="E81" s="396">
        <f>SUM(E64:E80)</f>
        <v>119424</v>
      </c>
      <c r="F81" s="398"/>
      <c r="G81" s="399"/>
      <c r="H81" s="25" t="str">
        <f>IF(F81=0," ",VLOOKUP(F81,[15]Sheet1!$A$1:$B$8,2,FALSE))</f>
        <v xml:space="preserve"> </v>
      </c>
    </row>
    <row r="82" spans="1:10" ht="16.5" thickBot="1" x14ac:dyDescent="0.3">
      <c r="A82" s="401"/>
      <c r="B82" s="402"/>
      <c r="C82" s="402"/>
      <c r="D82" s="403"/>
      <c r="E82" s="396"/>
      <c r="F82" s="398"/>
      <c r="G82" s="399"/>
      <c r="H82" s="25"/>
    </row>
    <row r="83" spans="1:10" ht="16.5" thickBot="1" x14ac:dyDescent="0.3">
      <c r="A83" s="635" t="s">
        <v>11</v>
      </c>
      <c r="B83" s="636"/>
      <c r="C83" s="636"/>
      <c r="D83" s="637"/>
      <c r="E83" s="151">
        <f>E18+E22+E42+E53+E62+E81</f>
        <v>575472</v>
      </c>
      <c r="F83" s="399"/>
      <c r="G83" s="399"/>
      <c r="H83" s="38"/>
    </row>
    <row r="84" spans="1:10" ht="16.5" thickBot="1" x14ac:dyDescent="0.3">
      <c r="A84" s="638" t="s">
        <v>737</v>
      </c>
      <c r="B84" s="639"/>
      <c r="C84" s="639"/>
      <c r="D84" s="639"/>
      <c r="E84" s="639"/>
      <c r="F84" s="639"/>
      <c r="G84" s="640"/>
      <c r="H84" s="39"/>
    </row>
    <row r="85" spans="1:10" ht="16.5" thickBot="1" x14ac:dyDescent="0.3">
      <c r="A85" s="635" t="s">
        <v>13</v>
      </c>
      <c r="B85" s="636"/>
      <c r="C85" s="636"/>
      <c r="D85" s="637"/>
      <c r="E85" s="404">
        <f>0.2*(E18+E20+E25+E26+E30+E32+E33+E35+E36+E37+E39+E44+E45+E46+E47+E50+E64+E65+E66+E69+E71+E72+E73+E74+E75)</f>
        <v>44528</v>
      </c>
      <c r="F85" s="399"/>
      <c r="G85" s="399"/>
      <c r="H85" s="40"/>
      <c r="J85" s="283">
        <f>E85/E83</f>
        <v>7.7376483999221507E-2</v>
      </c>
    </row>
    <row r="86" spans="1:10" ht="16.5" thickBot="1" x14ac:dyDescent="0.3">
      <c r="A86" s="641" t="s">
        <v>22</v>
      </c>
      <c r="B86" s="642"/>
      <c r="C86" s="642"/>
      <c r="D86" s="643"/>
      <c r="E86" s="405">
        <f>E83+E85</f>
        <v>620000</v>
      </c>
      <c r="F86" s="399"/>
      <c r="G86" s="399"/>
      <c r="H86" s="41"/>
    </row>
    <row r="87" spans="1:10" ht="16.5" thickBot="1" x14ac:dyDescent="0.3">
      <c r="A87" s="406"/>
      <c r="B87" s="406"/>
      <c r="C87" s="406"/>
      <c r="D87" s="406"/>
      <c r="E87" s="406"/>
      <c r="F87" s="406"/>
      <c r="G87" s="406"/>
      <c r="H87" s="29"/>
    </row>
    <row r="88" spans="1:10" ht="16.5" thickBot="1" x14ac:dyDescent="0.3">
      <c r="A88" s="634" t="s">
        <v>738</v>
      </c>
      <c r="B88" s="634"/>
      <c r="C88" s="634"/>
      <c r="D88" s="634"/>
      <c r="E88" s="407"/>
      <c r="F88" s="406"/>
      <c r="G88" s="406"/>
      <c r="H88" s="29"/>
    </row>
    <row r="89" spans="1:10" ht="16.5" thickBot="1" x14ac:dyDescent="0.3">
      <c r="A89" s="634" t="s">
        <v>20</v>
      </c>
      <c r="B89" s="634"/>
      <c r="C89" s="634"/>
      <c r="D89" s="634"/>
      <c r="E89" s="404"/>
      <c r="F89" s="406"/>
      <c r="G89" s="406"/>
      <c r="H89" s="29"/>
    </row>
    <row r="90" spans="1:10" ht="15.75" x14ac:dyDescent="0.25">
      <c r="A90" s="406"/>
      <c r="B90" s="406"/>
      <c r="C90" s="406"/>
      <c r="D90" s="406"/>
      <c r="E90" s="406"/>
      <c r="F90" s="406"/>
      <c r="G90" s="406"/>
      <c r="H90" s="29"/>
    </row>
    <row r="91" spans="1:10" ht="16.5" thickBot="1" x14ac:dyDescent="0.3">
      <c r="A91" s="406"/>
      <c r="B91" s="406"/>
      <c r="C91" s="406"/>
      <c r="D91" s="406"/>
      <c r="E91" s="406"/>
      <c r="F91" s="406"/>
      <c r="G91" s="406"/>
      <c r="H91" s="29"/>
    </row>
    <row r="92" spans="1:10" ht="75.75" thickBot="1" x14ac:dyDescent="0.3">
      <c r="A92" s="408" t="s">
        <v>35</v>
      </c>
      <c r="B92" s="409" t="s">
        <v>27</v>
      </c>
      <c r="C92" s="410" t="s">
        <v>739</v>
      </c>
      <c r="D92" s="410" t="s">
        <v>740</v>
      </c>
      <c r="E92" s="410" t="s">
        <v>717</v>
      </c>
      <c r="F92" s="410" t="s">
        <v>741</v>
      </c>
      <c r="G92" s="411" t="s">
        <v>742</v>
      </c>
      <c r="H92" s="412" t="s">
        <v>720</v>
      </c>
      <c r="I92" s="413" t="s">
        <v>25</v>
      </c>
      <c r="J92" s="414" t="s">
        <v>26</v>
      </c>
    </row>
    <row r="93" spans="1:10" ht="32.25" thickBot="1" x14ac:dyDescent="0.3">
      <c r="A93" s="415" t="s">
        <v>50</v>
      </c>
      <c r="B93" s="416">
        <f>E18</f>
        <v>43200</v>
      </c>
      <c r="C93" s="417">
        <f>B93/6</f>
        <v>7200</v>
      </c>
      <c r="D93" s="418">
        <f>B93/6</f>
        <v>7200</v>
      </c>
      <c r="E93" s="419">
        <f>B93/6</f>
        <v>7200</v>
      </c>
      <c r="F93" s="420">
        <f>B93/6</f>
        <v>7200</v>
      </c>
      <c r="G93" s="421">
        <f>B93/6</f>
        <v>7200</v>
      </c>
      <c r="H93" s="422">
        <f>B93/6</f>
        <v>7200</v>
      </c>
      <c r="I93" s="423">
        <f>SUM(C93:H93)</f>
        <v>43200</v>
      </c>
      <c r="J93" s="423"/>
    </row>
    <row r="94" spans="1:10" ht="32.25" thickBot="1" x14ac:dyDescent="0.3">
      <c r="A94" s="415" t="s">
        <v>51</v>
      </c>
      <c r="B94" s="416"/>
      <c r="C94" s="417"/>
      <c r="D94" s="418">
        <f>E25+E26+E32+E33+E35+E36+E37+E27</f>
        <v>70000</v>
      </c>
      <c r="E94" s="419">
        <f>E44+E45+E47</f>
        <v>34800</v>
      </c>
      <c r="F94" s="420"/>
      <c r="G94" s="424"/>
      <c r="H94" s="422">
        <f>E64+E65+E66+E71+E72+E74+E75+E76</f>
        <v>79500</v>
      </c>
      <c r="I94" s="423">
        <f>SUM(C94:H94)</f>
        <v>184300</v>
      </c>
      <c r="J94" s="423"/>
    </row>
    <row r="95" spans="1:10" ht="32.25" thickBot="1" x14ac:dyDescent="0.3">
      <c r="A95" s="415" t="s">
        <v>52</v>
      </c>
      <c r="B95" s="416"/>
      <c r="C95" s="417"/>
      <c r="D95" s="418"/>
      <c r="E95" s="419"/>
      <c r="F95" s="420"/>
      <c r="G95" s="424"/>
      <c r="H95" s="422"/>
      <c r="I95" s="423"/>
      <c r="J95" s="423"/>
    </row>
    <row r="96" spans="1:10" ht="32.25" thickBot="1" x14ac:dyDescent="0.3">
      <c r="A96" s="415" t="s">
        <v>53</v>
      </c>
      <c r="B96" s="416"/>
      <c r="C96" s="417"/>
      <c r="D96" s="418"/>
      <c r="E96" s="419"/>
      <c r="F96" s="420"/>
      <c r="G96" s="424"/>
      <c r="H96" s="422"/>
      <c r="I96" s="423"/>
      <c r="J96" s="423"/>
    </row>
    <row r="97" spans="1:10" ht="32.25" thickBot="1" x14ac:dyDescent="0.3">
      <c r="A97" s="415" t="s">
        <v>54</v>
      </c>
      <c r="B97" s="416"/>
      <c r="C97" s="417"/>
      <c r="D97" s="418"/>
      <c r="E97" s="419"/>
      <c r="F97" s="420"/>
      <c r="G97" s="424"/>
      <c r="H97" s="422"/>
      <c r="I97" s="423"/>
      <c r="J97" s="423"/>
    </row>
    <row r="98" spans="1:10" ht="32.25" thickBot="1" x14ac:dyDescent="0.3">
      <c r="A98" s="415" t="s">
        <v>55</v>
      </c>
      <c r="B98" s="416"/>
      <c r="C98" s="417"/>
      <c r="D98" s="418"/>
      <c r="E98" s="419"/>
      <c r="F98" s="420"/>
      <c r="G98" s="424"/>
      <c r="H98" s="422"/>
      <c r="I98" s="423"/>
      <c r="J98" s="423"/>
    </row>
    <row r="99" spans="1:10" ht="48" thickBot="1" x14ac:dyDescent="0.3">
      <c r="A99" s="415" t="s">
        <v>56</v>
      </c>
      <c r="B99" s="416"/>
      <c r="C99" s="417"/>
      <c r="D99" s="418">
        <f>E24+E28+E31+E38+E40+E29</f>
        <v>32700</v>
      </c>
      <c r="E99" s="419">
        <f>E48+E49+E51</f>
        <v>19568</v>
      </c>
      <c r="F99" s="420"/>
      <c r="G99" s="425"/>
      <c r="H99" s="422">
        <f>E67+E68+E70+E77+E79</f>
        <v>31044</v>
      </c>
      <c r="I99" s="423">
        <f>SUM(D99:H99)</f>
        <v>83312</v>
      </c>
      <c r="J99" s="423"/>
    </row>
    <row r="100" spans="1:10" ht="48" thickBot="1" x14ac:dyDescent="0.3">
      <c r="A100" s="415" t="s">
        <v>57</v>
      </c>
      <c r="B100" s="416"/>
      <c r="C100" s="417">
        <f>E20</f>
        <v>1000</v>
      </c>
      <c r="D100" s="418">
        <f>E30+E34+E39</f>
        <v>8400</v>
      </c>
      <c r="E100" s="419">
        <f>E46+E50</f>
        <v>4860</v>
      </c>
      <c r="F100" s="420"/>
      <c r="G100" s="426">
        <f>E59</f>
        <v>241520</v>
      </c>
      <c r="H100" s="422">
        <f>E69+E73+E78</f>
        <v>8880</v>
      </c>
      <c r="I100" s="423">
        <f>SUM(C100:H100)</f>
        <v>264660</v>
      </c>
      <c r="J100" s="423"/>
    </row>
    <row r="101" spans="1:10" ht="16.5" thickBot="1" x14ac:dyDescent="0.3">
      <c r="A101" s="415" t="s">
        <v>32</v>
      </c>
      <c r="B101" s="416"/>
      <c r="C101" s="417"/>
      <c r="D101" s="418"/>
      <c r="E101" s="419"/>
      <c r="F101" s="420"/>
      <c r="G101" s="425"/>
      <c r="H101" s="422"/>
      <c r="I101" s="423"/>
      <c r="J101" s="423"/>
    </row>
    <row r="102" spans="1:10" ht="16.5" thickBot="1" x14ac:dyDescent="0.3">
      <c r="A102" s="410" t="s">
        <v>33</v>
      </c>
      <c r="B102" s="427"/>
      <c r="C102" s="417">
        <f>SUM(C94:C100)</f>
        <v>1000</v>
      </c>
      <c r="D102" s="418">
        <f>SUM(D94:D100)</f>
        <v>111100</v>
      </c>
      <c r="E102" s="419">
        <f>SUM(E94:E100)</f>
        <v>59228</v>
      </c>
      <c r="F102" s="420"/>
      <c r="G102" s="428">
        <f>SUM(G94:G100)</f>
        <v>241520</v>
      </c>
      <c r="H102" s="422">
        <f>SUM(H94:H100)</f>
        <v>119424</v>
      </c>
      <c r="I102" s="429">
        <f>B93+C102+D102+E102+G102+H102</f>
        <v>575472</v>
      </c>
      <c r="J102" s="423"/>
    </row>
    <row r="103" spans="1:10" ht="16.5" thickBot="1" x14ac:dyDescent="0.3">
      <c r="A103" s="410" t="s">
        <v>34</v>
      </c>
      <c r="B103" s="427"/>
      <c r="C103" s="417"/>
      <c r="D103" s="418"/>
      <c r="E103" s="419"/>
      <c r="F103" s="420"/>
      <c r="G103" s="430"/>
      <c r="H103" s="422"/>
      <c r="I103" s="429">
        <f>I102+E85</f>
        <v>620000</v>
      </c>
      <c r="J103" s="423"/>
    </row>
    <row r="107" spans="1:10" x14ac:dyDescent="0.25">
      <c r="A107" s="292" t="s">
        <v>538</v>
      </c>
      <c r="B107" s="294">
        <f>E18+E22+E42+E53+E57+E81</f>
        <v>333952</v>
      </c>
    </row>
    <row r="108" spans="1:10" x14ac:dyDescent="0.25">
      <c r="A108" s="292" t="s">
        <v>539</v>
      </c>
      <c r="B108" s="294">
        <f>ROUND(B107*7.74%,2)</f>
        <v>25847.88</v>
      </c>
    </row>
    <row r="109" spans="1:10" x14ac:dyDescent="0.25">
      <c r="A109" s="293" t="s">
        <v>34</v>
      </c>
      <c r="B109" s="295">
        <f>(B107+B108)/E86</f>
        <v>0.58032238709677419</v>
      </c>
    </row>
  </sheetData>
  <mergeCells count="27">
    <mergeCell ref="A88:D88"/>
    <mergeCell ref="A89:D89"/>
    <mergeCell ref="A81:D81"/>
    <mergeCell ref="A83:D83"/>
    <mergeCell ref="A84:G84"/>
    <mergeCell ref="A85:D85"/>
    <mergeCell ref="A86:D86"/>
    <mergeCell ref="B3:G3"/>
    <mergeCell ref="B4:G4"/>
    <mergeCell ref="B5:G5"/>
    <mergeCell ref="B6:G6"/>
    <mergeCell ref="B7:G7"/>
    <mergeCell ref="B8:G8"/>
    <mergeCell ref="A11:G11"/>
    <mergeCell ref="A12:G12"/>
    <mergeCell ref="A18:D18"/>
    <mergeCell ref="A19:G19"/>
    <mergeCell ref="A22:D22"/>
    <mergeCell ref="A23:G23"/>
    <mergeCell ref="A58:G58"/>
    <mergeCell ref="A62:D62"/>
    <mergeCell ref="A63:G63"/>
    <mergeCell ref="A42:D42"/>
    <mergeCell ref="A43:G43"/>
    <mergeCell ref="A53:D53"/>
    <mergeCell ref="A54:G54"/>
    <mergeCell ref="A57:D57"/>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[15]Sheet1!#REF!</xm:f>
          </x14:formula1>
          <xm:sqref>F44:F53 F59:F62 F55:F57 F24:F42 F20:F22 F64:F82 F13:F18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workbookViewId="0">
      <selection activeCell="B89" sqref="B89"/>
    </sheetView>
  </sheetViews>
  <sheetFormatPr defaultRowHeight="15" x14ac:dyDescent="0.25"/>
  <cols>
    <col min="1" max="1" width="41" customWidth="1"/>
    <col min="2" max="2" width="11.5703125" customWidth="1"/>
    <col min="3" max="3" width="12.85546875" customWidth="1"/>
    <col min="4" max="4" width="13.5703125" customWidth="1"/>
    <col min="5" max="5" width="13.28515625" customWidth="1"/>
    <col min="6" max="6" width="17.85546875" customWidth="1"/>
    <col min="7" max="7" width="35.42578125" customWidth="1"/>
    <col min="8" max="8" width="33.140625" customWidth="1"/>
  </cols>
  <sheetData>
    <row r="1" spans="1:8" x14ac:dyDescent="0.25">
      <c r="A1" s="13" t="s">
        <v>17</v>
      </c>
      <c r="B1" s="14"/>
      <c r="C1" s="14"/>
      <c r="D1" s="15"/>
      <c r="E1" s="15"/>
      <c r="F1" s="15"/>
      <c r="G1" s="15"/>
      <c r="H1" s="128"/>
    </row>
    <row r="2" spans="1:8" ht="15.75" thickBot="1" x14ac:dyDescent="0.3">
      <c r="A2" s="15"/>
      <c r="B2" s="15"/>
      <c r="C2" s="15"/>
      <c r="D2" s="15"/>
      <c r="E2" s="15"/>
      <c r="F2" s="15"/>
      <c r="G2" s="15"/>
      <c r="H2" s="128"/>
    </row>
    <row r="3" spans="1:8" ht="15.75" thickBot="1" x14ac:dyDescent="0.3">
      <c r="A3" s="129" t="s">
        <v>7</v>
      </c>
      <c r="B3" s="551" t="s">
        <v>679</v>
      </c>
      <c r="C3" s="552"/>
      <c r="D3" s="552"/>
      <c r="E3" s="552"/>
      <c r="F3" s="552"/>
      <c r="G3" s="553"/>
      <c r="H3" s="30"/>
    </row>
    <row r="4" spans="1:8" ht="36" customHeight="1" thickBot="1" x14ac:dyDescent="0.3">
      <c r="A4" s="130" t="s">
        <v>15</v>
      </c>
      <c r="B4" s="554" t="s">
        <v>392</v>
      </c>
      <c r="C4" s="555"/>
      <c r="D4" s="555"/>
      <c r="E4" s="555"/>
      <c r="F4" s="555"/>
      <c r="G4" s="556"/>
      <c r="H4" s="30"/>
    </row>
    <row r="5" spans="1:8" ht="15.75" thickBot="1" x14ac:dyDescent="0.3">
      <c r="A5" s="130" t="s">
        <v>8</v>
      </c>
      <c r="B5" s="551" t="s">
        <v>202</v>
      </c>
      <c r="C5" s="552"/>
      <c r="D5" s="552"/>
      <c r="E5" s="552"/>
      <c r="F5" s="552"/>
      <c r="G5" s="553"/>
      <c r="H5" s="30"/>
    </row>
    <row r="6" spans="1:8" ht="15.75" thickBot="1" x14ac:dyDescent="0.3">
      <c r="A6" s="130" t="s">
        <v>16</v>
      </c>
      <c r="B6" s="557">
        <v>650000</v>
      </c>
      <c r="C6" s="558"/>
      <c r="D6" s="558"/>
      <c r="E6" s="558"/>
      <c r="F6" s="558"/>
      <c r="G6" s="559"/>
      <c r="H6" s="31"/>
    </row>
    <row r="7" spans="1:8" ht="15.75" thickBot="1" x14ac:dyDescent="0.3">
      <c r="A7" s="130" t="s">
        <v>2</v>
      </c>
      <c r="B7" s="560">
        <v>1</v>
      </c>
      <c r="C7" s="548"/>
      <c r="D7" s="548"/>
      <c r="E7" s="548"/>
      <c r="F7" s="548"/>
      <c r="G7" s="549"/>
      <c r="H7" s="32"/>
    </row>
    <row r="8" spans="1:8" ht="15.75" thickBot="1" x14ac:dyDescent="0.3">
      <c r="A8" s="130" t="s">
        <v>9</v>
      </c>
      <c r="B8" s="547" t="s">
        <v>203</v>
      </c>
      <c r="C8" s="548"/>
      <c r="D8" s="548"/>
      <c r="E8" s="548"/>
      <c r="F8" s="548"/>
      <c r="G8" s="549"/>
      <c r="H8" s="32"/>
    </row>
    <row r="9" spans="1:8" ht="15.75" thickBot="1" x14ac:dyDescent="0.3">
      <c r="A9" s="23"/>
      <c r="B9" s="24"/>
      <c r="C9" s="22"/>
      <c r="D9" s="22"/>
      <c r="E9" s="22"/>
      <c r="F9" s="22"/>
      <c r="G9" s="22"/>
      <c r="H9" s="33"/>
    </row>
    <row r="10" spans="1:8" ht="23.25" thickBot="1" x14ac:dyDescent="0.3">
      <c r="A10" s="28"/>
      <c r="B10" s="26" t="s">
        <v>0</v>
      </c>
      <c r="C10" s="26" t="s">
        <v>14</v>
      </c>
      <c r="D10" s="26" t="s">
        <v>23</v>
      </c>
      <c r="E10" s="26" t="s">
        <v>18</v>
      </c>
      <c r="F10" s="26" t="s">
        <v>10</v>
      </c>
      <c r="G10" s="27" t="s">
        <v>1</v>
      </c>
      <c r="H10" s="34" t="s">
        <v>36</v>
      </c>
    </row>
    <row r="11" spans="1:8" ht="15.75" thickBot="1" x14ac:dyDescent="0.3">
      <c r="A11" s="511" t="s">
        <v>204</v>
      </c>
      <c r="B11" s="512"/>
      <c r="C11" s="512"/>
      <c r="D11" s="512"/>
      <c r="E11" s="512"/>
      <c r="F11" s="512"/>
      <c r="G11" s="513"/>
      <c r="H11" s="35"/>
    </row>
    <row r="12" spans="1:8" ht="15.75" thickBot="1" x14ac:dyDescent="0.3">
      <c r="A12" s="514" t="s">
        <v>24</v>
      </c>
      <c r="B12" s="515"/>
      <c r="C12" s="515"/>
      <c r="D12" s="515"/>
      <c r="E12" s="515"/>
      <c r="F12" s="515"/>
      <c r="G12" s="516"/>
      <c r="H12" s="36"/>
    </row>
    <row r="13" spans="1:8" ht="34.5" thickBot="1" x14ac:dyDescent="0.3">
      <c r="A13" s="131" t="s">
        <v>205</v>
      </c>
      <c r="B13" s="132" t="s">
        <v>66</v>
      </c>
      <c r="C13" s="133">
        <v>1100</v>
      </c>
      <c r="D13" s="134">
        <v>9</v>
      </c>
      <c r="E13" s="134">
        <f>C13*D13</f>
        <v>9900</v>
      </c>
      <c r="F13" s="12" t="s">
        <v>50</v>
      </c>
      <c r="G13" s="5"/>
      <c r="H13" s="25">
        <f>IF(F13=0,"  ",VLOOKUP(F13,[16]Sheet1!$A$1:$B$8,2,FALSE))</f>
        <v>0</v>
      </c>
    </row>
    <row r="14" spans="1:8" ht="34.5" thickBot="1" x14ac:dyDescent="0.3">
      <c r="A14" s="131" t="s">
        <v>393</v>
      </c>
      <c r="B14" s="132" t="s">
        <v>66</v>
      </c>
      <c r="C14" s="133">
        <v>1100</v>
      </c>
      <c r="D14" s="134">
        <v>9</v>
      </c>
      <c r="E14" s="134">
        <f>C14*D14</f>
        <v>9900</v>
      </c>
      <c r="F14" s="12" t="s">
        <v>50</v>
      </c>
      <c r="G14" s="5"/>
      <c r="H14" s="25"/>
    </row>
    <row r="15" spans="1:8" ht="34.5" thickBot="1" x14ac:dyDescent="0.3">
      <c r="A15" s="131" t="s">
        <v>207</v>
      </c>
      <c r="B15" s="132" t="s">
        <v>66</v>
      </c>
      <c r="C15" s="133">
        <v>1100</v>
      </c>
      <c r="D15" s="134">
        <v>9</v>
      </c>
      <c r="E15" s="134">
        <f>C15*D15</f>
        <v>9900</v>
      </c>
      <c r="F15" s="12" t="s">
        <v>50</v>
      </c>
      <c r="G15" s="5"/>
      <c r="H15" s="25"/>
    </row>
    <row r="16" spans="1:8" ht="34.5" thickBot="1" x14ac:dyDescent="0.3">
      <c r="A16" s="131" t="s">
        <v>208</v>
      </c>
      <c r="B16" s="132" t="s">
        <v>66</v>
      </c>
      <c r="C16" s="133">
        <v>1100</v>
      </c>
      <c r="D16" s="134">
        <v>9</v>
      </c>
      <c r="E16" s="134">
        <f>C16*D16</f>
        <v>9900</v>
      </c>
      <c r="F16" s="12" t="s">
        <v>50</v>
      </c>
      <c r="G16" s="5"/>
      <c r="H16" s="25"/>
    </row>
    <row r="17" spans="1:8" ht="34.5" thickBot="1" x14ac:dyDescent="0.3">
      <c r="A17" s="131" t="s">
        <v>209</v>
      </c>
      <c r="B17" s="132" t="s">
        <v>66</v>
      </c>
      <c r="C17" s="133">
        <v>1100</v>
      </c>
      <c r="D17" s="134">
        <v>9</v>
      </c>
      <c r="E17" s="134">
        <f>C17*D17</f>
        <v>9900</v>
      </c>
      <c r="F17" s="12" t="s">
        <v>50</v>
      </c>
      <c r="G17" s="5"/>
      <c r="H17" s="25">
        <f>IF(F17=0," ",VLOOKUP(F17,[16]Sheet1!$A$1:$B$8,2,FALSE))</f>
        <v>0</v>
      </c>
    </row>
    <row r="18" spans="1:8" ht="16.5" thickBot="1" x14ac:dyDescent="0.3">
      <c r="A18" s="544" t="s">
        <v>3</v>
      </c>
      <c r="B18" s="545"/>
      <c r="C18" s="545"/>
      <c r="D18" s="550"/>
      <c r="E18" s="135">
        <f>SUM(E13:E17)</f>
        <v>49500</v>
      </c>
      <c r="F18" s="12"/>
      <c r="G18" s="87"/>
      <c r="H18" s="25" t="str">
        <f>IF(F18=0," ",VLOOKUP(F18,[16]Sheet1!$A$1:$B$8,2,FALSE))</f>
        <v xml:space="preserve"> </v>
      </c>
    </row>
    <row r="19" spans="1:8" ht="15.75" thickBot="1" x14ac:dyDescent="0.3">
      <c r="A19" s="520" t="s">
        <v>210</v>
      </c>
      <c r="B19" s="521"/>
      <c r="C19" s="521"/>
      <c r="D19" s="521"/>
      <c r="E19" s="521"/>
      <c r="F19" s="521"/>
      <c r="G19" s="522"/>
      <c r="H19" s="37"/>
    </row>
    <row r="20" spans="1:8" ht="63.75" thickBot="1" x14ac:dyDescent="0.3">
      <c r="A20" s="136" t="s">
        <v>394</v>
      </c>
      <c r="B20" s="137" t="s">
        <v>221</v>
      </c>
      <c r="C20" s="137">
        <v>3</v>
      </c>
      <c r="D20" s="134">
        <v>4500</v>
      </c>
      <c r="E20" s="140">
        <f t="shared" ref="E20:E25" si="0">C20*D20</f>
        <v>13500</v>
      </c>
      <c r="F20" s="12" t="s">
        <v>57</v>
      </c>
      <c r="G20" s="93"/>
      <c r="H20" s="25"/>
    </row>
    <row r="21" spans="1:8" ht="48" thickBot="1" x14ac:dyDescent="0.3">
      <c r="A21" s="136" t="s">
        <v>395</v>
      </c>
      <c r="B21" s="137" t="s">
        <v>212</v>
      </c>
      <c r="C21" s="137">
        <v>150</v>
      </c>
      <c r="D21" s="134">
        <v>35</v>
      </c>
      <c r="E21" s="140">
        <f t="shared" si="0"/>
        <v>5250</v>
      </c>
      <c r="F21" s="12" t="s">
        <v>51</v>
      </c>
      <c r="G21" s="93"/>
      <c r="H21" s="25"/>
    </row>
    <row r="22" spans="1:8" ht="48" thickBot="1" x14ac:dyDescent="0.3">
      <c r="A22" s="136" t="s">
        <v>396</v>
      </c>
      <c r="B22" s="137" t="s">
        <v>212</v>
      </c>
      <c r="C22" s="137">
        <v>120</v>
      </c>
      <c r="D22" s="134">
        <v>145</v>
      </c>
      <c r="E22" s="140">
        <f t="shared" si="0"/>
        <v>17400</v>
      </c>
      <c r="F22" s="12" t="s">
        <v>51</v>
      </c>
      <c r="G22" s="93"/>
      <c r="H22" s="25"/>
    </row>
    <row r="23" spans="1:8" ht="34.5" thickBot="1" x14ac:dyDescent="0.3">
      <c r="A23" s="136" t="s">
        <v>397</v>
      </c>
      <c r="B23" s="132" t="s">
        <v>214</v>
      </c>
      <c r="C23" s="137">
        <v>30</v>
      </c>
      <c r="D23" s="134">
        <v>400</v>
      </c>
      <c r="E23" s="140">
        <f t="shared" si="0"/>
        <v>12000</v>
      </c>
      <c r="F23" s="12" t="s">
        <v>51</v>
      </c>
      <c r="G23" s="93"/>
      <c r="H23" s="25"/>
    </row>
    <row r="24" spans="1:8" ht="34.5" thickBot="1" x14ac:dyDescent="0.3">
      <c r="A24" s="136" t="s">
        <v>398</v>
      </c>
      <c r="B24" s="132" t="s">
        <v>214</v>
      </c>
      <c r="C24" s="137">
        <v>30</v>
      </c>
      <c r="D24" s="134">
        <v>100</v>
      </c>
      <c r="E24" s="140">
        <f t="shared" si="0"/>
        <v>3000</v>
      </c>
      <c r="F24" s="12" t="s">
        <v>51</v>
      </c>
      <c r="G24" s="93"/>
      <c r="H24" s="25"/>
    </row>
    <row r="25" spans="1:8" ht="57" thickBot="1" x14ac:dyDescent="0.3">
      <c r="A25" s="136" t="s">
        <v>399</v>
      </c>
      <c r="B25" s="132" t="s">
        <v>212</v>
      </c>
      <c r="C25" s="137">
        <v>15</v>
      </c>
      <c r="D25" s="134">
        <v>400</v>
      </c>
      <c r="E25" s="140">
        <f t="shared" si="0"/>
        <v>6000</v>
      </c>
      <c r="F25" s="12" t="s">
        <v>57</v>
      </c>
      <c r="G25" s="93"/>
      <c r="H25" s="25"/>
    </row>
    <row r="26" spans="1:8" ht="16.5" thickBot="1" x14ac:dyDescent="0.3">
      <c r="A26" s="544" t="s">
        <v>4</v>
      </c>
      <c r="B26" s="545"/>
      <c r="C26" s="545"/>
      <c r="D26" s="546"/>
      <c r="E26" s="135">
        <f>SUM(E20:E25)</f>
        <v>57150</v>
      </c>
      <c r="F26" s="12"/>
      <c r="G26" s="93"/>
      <c r="H26" s="25" t="str">
        <f>IF(F26=0," ",VLOOKUP(F26,[16]Sheet1!$A$1:$B$8,2,FALSE))</f>
        <v xml:space="preserve"> </v>
      </c>
    </row>
    <row r="27" spans="1:8" ht="15.75" thickBot="1" x14ac:dyDescent="0.3">
      <c r="A27" s="520" t="s">
        <v>167</v>
      </c>
      <c r="B27" s="521"/>
      <c r="C27" s="521"/>
      <c r="D27" s="521"/>
      <c r="E27" s="521"/>
      <c r="F27" s="521"/>
      <c r="G27" s="522"/>
      <c r="H27" s="37"/>
    </row>
    <row r="28" spans="1:8" ht="63.75" thickBot="1" x14ac:dyDescent="0.3">
      <c r="A28" s="136" t="s">
        <v>400</v>
      </c>
      <c r="B28" s="139" t="s">
        <v>219</v>
      </c>
      <c r="C28" s="139">
        <v>3</v>
      </c>
      <c r="D28" s="140">
        <v>1000</v>
      </c>
      <c r="E28" s="140">
        <f>C28*D28</f>
        <v>3000</v>
      </c>
      <c r="F28" s="12" t="s">
        <v>57</v>
      </c>
      <c r="G28" s="93"/>
      <c r="H28" s="25" t="str">
        <f>IF(F28=0," ",VLOOKUP(F28,[16]Sheet1!$A$1:$B$8,2,FALSE))</f>
        <v>Include a reference to the relevant article of the project contract.
Examples of costs: information/publicity, translations, specific evaluation, audits, charges for financial transactions, etc.</v>
      </c>
    </row>
    <row r="29" spans="1:8" ht="57" thickBot="1" x14ac:dyDescent="0.3">
      <c r="A29" s="136" t="s">
        <v>401</v>
      </c>
      <c r="B29" s="137" t="s">
        <v>223</v>
      </c>
      <c r="C29" s="137">
        <v>1400</v>
      </c>
      <c r="D29" s="134">
        <v>10</v>
      </c>
      <c r="E29" s="140">
        <f t="shared" ref="E29:E46" si="1">C29*D29</f>
        <v>14000</v>
      </c>
      <c r="F29" s="12" t="s">
        <v>56</v>
      </c>
      <c r="G29" s="93"/>
      <c r="H29" s="25"/>
    </row>
    <row r="30" spans="1:8" ht="57" thickBot="1" x14ac:dyDescent="0.3">
      <c r="A30" s="136" t="s">
        <v>224</v>
      </c>
      <c r="B30" s="137" t="s">
        <v>225</v>
      </c>
      <c r="C30" s="137">
        <v>1000</v>
      </c>
      <c r="D30" s="134">
        <v>9</v>
      </c>
      <c r="E30" s="140">
        <f t="shared" si="1"/>
        <v>9000</v>
      </c>
      <c r="F30" s="12" t="s">
        <v>56</v>
      </c>
      <c r="G30" s="93"/>
      <c r="H30" s="25"/>
    </row>
    <row r="31" spans="1:8" ht="48" thickBot="1" x14ac:dyDescent="0.3">
      <c r="A31" s="136" t="s">
        <v>744</v>
      </c>
      <c r="B31" s="132" t="s">
        <v>212</v>
      </c>
      <c r="C31" s="137">
        <v>270</v>
      </c>
      <c r="D31" s="134">
        <v>22</v>
      </c>
      <c r="E31" s="140">
        <f t="shared" si="1"/>
        <v>5940</v>
      </c>
      <c r="F31" s="12" t="s">
        <v>51</v>
      </c>
      <c r="G31" s="93"/>
      <c r="H31" s="25"/>
    </row>
    <row r="32" spans="1:8" ht="63.75" thickBot="1" x14ac:dyDescent="0.3">
      <c r="A32" s="136" t="s">
        <v>745</v>
      </c>
      <c r="B32" s="132" t="s">
        <v>212</v>
      </c>
      <c r="C32" s="137">
        <v>180</v>
      </c>
      <c r="D32" s="134">
        <v>22</v>
      </c>
      <c r="E32" s="140">
        <f t="shared" si="1"/>
        <v>3960</v>
      </c>
      <c r="F32" s="12" t="s">
        <v>51</v>
      </c>
      <c r="G32" s="93"/>
      <c r="H32" s="25"/>
    </row>
    <row r="33" spans="1:8" ht="48" thickBot="1" x14ac:dyDescent="0.3">
      <c r="A33" s="136" t="s">
        <v>402</v>
      </c>
      <c r="B33" s="132" t="s">
        <v>214</v>
      </c>
      <c r="C33" s="137">
        <v>90</v>
      </c>
      <c r="D33" s="134">
        <v>40</v>
      </c>
      <c r="E33" s="140">
        <f t="shared" si="1"/>
        <v>3600</v>
      </c>
      <c r="F33" s="12" t="s">
        <v>51</v>
      </c>
      <c r="G33" s="93"/>
      <c r="H33" s="25"/>
    </row>
    <row r="34" spans="1:8" ht="57" thickBot="1" x14ac:dyDescent="0.3">
      <c r="A34" s="136" t="s">
        <v>403</v>
      </c>
      <c r="B34" s="132" t="s">
        <v>212</v>
      </c>
      <c r="C34" s="137">
        <v>6</v>
      </c>
      <c r="D34" s="134">
        <v>600</v>
      </c>
      <c r="E34" s="140">
        <f t="shared" si="1"/>
        <v>3600</v>
      </c>
      <c r="F34" s="12" t="s">
        <v>56</v>
      </c>
      <c r="G34" s="93"/>
      <c r="H34" s="25"/>
    </row>
    <row r="35" spans="1:8" ht="57" thickBot="1" x14ac:dyDescent="0.3">
      <c r="A35" s="136" t="s">
        <v>404</v>
      </c>
      <c r="B35" s="225" t="s">
        <v>215</v>
      </c>
      <c r="C35" s="137">
        <v>564</v>
      </c>
      <c r="D35" s="134">
        <v>4</v>
      </c>
      <c r="E35" s="140">
        <f t="shared" si="1"/>
        <v>2256</v>
      </c>
      <c r="F35" s="12" t="s">
        <v>56</v>
      </c>
      <c r="G35" s="93"/>
      <c r="H35" s="25"/>
    </row>
    <row r="36" spans="1:8" ht="57" thickBot="1" x14ac:dyDescent="0.3">
      <c r="A36" s="136" t="s">
        <v>405</v>
      </c>
      <c r="B36" s="225" t="s">
        <v>212</v>
      </c>
      <c r="C36" s="137">
        <v>16</v>
      </c>
      <c r="D36" s="134">
        <v>60</v>
      </c>
      <c r="E36" s="140">
        <f t="shared" si="1"/>
        <v>960</v>
      </c>
      <c r="F36" s="12" t="s">
        <v>57</v>
      </c>
      <c r="G36" s="93"/>
      <c r="H36" s="25"/>
    </row>
    <row r="37" spans="1:8" ht="57" thickBot="1" x14ac:dyDescent="0.3">
      <c r="A37" s="136" t="s">
        <v>406</v>
      </c>
      <c r="B37" s="132" t="s">
        <v>212</v>
      </c>
      <c r="C37" s="137">
        <v>4</v>
      </c>
      <c r="D37" s="134">
        <v>500</v>
      </c>
      <c r="E37" s="140">
        <f t="shared" si="1"/>
        <v>2000</v>
      </c>
      <c r="F37" s="12" t="s">
        <v>56</v>
      </c>
      <c r="G37" s="93"/>
      <c r="H37" s="25"/>
    </row>
    <row r="38" spans="1:8" ht="34.5" thickBot="1" x14ac:dyDescent="0.3">
      <c r="A38" s="136" t="s">
        <v>407</v>
      </c>
      <c r="B38" s="132" t="s">
        <v>212</v>
      </c>
      <c r="C38" s="137">
        <v>8</v>
      </c>
      <c r="D38" s="134">
        <v>175</v>
      </c>
      <c r="E38" s="140">
        <f t="shared" si="1"/>
        <v>1400</v>
      </c>
      <c r="F38" s="12" t="s">
        <v>51</v>
      </c>
      <c r="G38" s="93"/>
      <c r="H38" s="25"/>
    </row>
    <row r="39" spans="1:8" ht="34.5" thickBot="1" x14ac:dyDescent="0.3">
      <c r="A39" s="136" t="s">
        <v>408</v>
      </c>
      <c r="B39" s="153" t="s">
        <v>391</v>
      </c>
      <c r="C39" s="137">
        <v>2</v>
      </c>
      <c r="D39" s="134">
        <v>700</v>
      </c>
      <c r="E39" s="140">
        <f t="shared" si="1"/>
        <v>1400</v>
      </c>
      <c r="F39" s="12" t="s">
        <v>51</v>
      </c>
      <c r="G39" s="93"/>
      <c r="H39" s="25"/>
    </row>
    <row r="40" spans="1:8" ht="57" thickBot="1" x14ac:dyDescent="0.3">
      <c r="A40" s="136" t="s">
        <v>409</v>
      </c>
      <c r="B40" s="153" t="s">
        <v>212</v>
      </c>
      <c r="C40" s="137">
        <v>8</v>
      </c>
      <c r="D40" s="134">
        <v>450</v>
      </c>
      <c r="E40" s="140">
        <f t="shared" si="1"/>
        <v>3600</v>
      </c>
      <c r="F40" s="12" t="s">
        <v>57</v>
      </c>
      <c r="G40" s="93"/>
      <c r="H40" s="25"/>
    </row>
    <row r="41" spans="1:8" ht="63.75" thickBot="1" x14ac:dyDescent="0.3">
      <c r="A41" s="136" t="s">
        <v>746</v>
      </c>
      <c r="B41" s="132" t="s">
        <v>212</v>
      </c>
      <c r="C41" s="137">
        <v>846</v>
      </c>
      <c r="D41" s="134">
        <v>22</v>
      </c>
      <c r="E41" s="140">
        <f t="shared" si="1"/>
        <v>18612</v>
      </c>
      <c r="F41" s="12" t="s">
        <v>51</v>
      </c>
      <c r="G41" s="93"/>
      <c r="H41" s="25"/>
    </row>
    <row r="42" spans="1:8" ht="63.75" thickBot="1" x14ac:dyDescent="0.3">
      <c r="A42" s="136" t="s">
        <v>747</v>
      </c>
      <c r="B42" s="132" t="s">
        <v>212</v>
      </c>
      <c r="C42" s="137">
        <v>564</v>
      </c>
      <c r="D42" s="134">
        <v>22</v>
      </c>
      <c r="E42" s="140">
        <f t="shared" si="1"/>
        <v>12408</v>
      </c>
      <c r="F42" s="12" t="s">
        <v>51</v>
      </c>
      <c r="G42" s="93"/>
      <c r="H42" s="25"/>
    </row>
    <row r="43" spans="1:8" ht="48" thickBot="1" x14ac:dyDescent="0.3">
      <c r="A43" s="136" t="s">
        <v>410</v>
      </c>
      <c r="B43" s="132" t="s">
        <v>214</v>
      </c>
      <c r="C43" s="137">
        <v>282</v>
      </c>
      <c r="D43" s="134">
        <v>40</v>
      </c>
      <c r="E43" s="140">
        <f t="shared" si="1"/>
        <v>11280</v>
      </c>
      <c r="F43" s="12" t="s">
        <v>51</v>
      </c>
      <c r="G43" s="93"/>
      <c r="H43" s="25"/>
    </row>
    <row r="44" spans="1:8" ht="57" thickBot="1" x14ac:dyDescent="0.3">
      <c r="A44" s="136" t="s">
        <v>411</v>
      </c>
      <c r="B44" s="132" t="s">
        <v>212</v>
      </c>
      <c r="C44" s="137">
        <v>18</v>
      </c>
      <c r="D44" s="134">
        <v>600</v>
      </c>
      <c r="E44" s="140">
        <f t="shared" si="1"/>
        <v>10800</v>
      </c>
      <c r="F44" s="12" t="s">
        <v>56</v>
      </c>
      <c r="G44" s="93"/>
      <c r="H44" s="25"/>
    </row>
    <row r="45" spans="1:8" ht="57" thickBot="1" x14ac:dyDescent="0.3">
      <c r="A45" s="136" t="s">
        <v>412</v>
      </c>
      <c r="B45" s="225" t="s">
        <v>212</v>
      </c>
      <c r="C45" s="137">
        <v>48</v>
      </c>
      <c r="D45" s="134">
        <v>60</v>
      </c>
      <c r="E45" s="140">
        <f t="shared" si="1"/>
        <v>2880</v>
      </c>
      <c r="F45" s="12" t="s">
        <v>57</v>
      </c>
      <c r="G45" s="93"/>
      <c r="H45" s="25"/>
    </row>
    <row r="46" spans="1:8" ht="57" thickBot="1" x14ac:dyDescent="0.3">
      <c r="A46" s="136" t="s">
        <v>413</v>
      </c>
      <c r="B46" s="225" t="s">
        <v>215</v>
      </c>
      <c r="C46" s="137">
        <v>1692</v>
      </c>
      <c r="D46" s="134">
        <v>4</v>
      </c>
      <c r="E46" s="140">
        <f t="shared" si="1"/>
        <v>6768</v>
      </c>
      <c r="F46" s="12" t="s">
        <v>56</v>
      </c>
      <c r="G46" s="93"/>
      <c r="H46" s="25" t="str">
        <f>IF(F46=0," ",VLOOKUP(F46,[16]Sheet1!$A$1:$B$8,2,FALSE))</f>
        <v>Awarding should comply with the applicable rules on public procurement  (Regulations Art. 8.15).</v>
      </c>
    </row>
    <row r="47" spans="1:8" ht="16.5" thickBot="1" x14ac:dyDescent="0.3">
      <c r="A47" s="544" t="s">
        <v>5</v>
      </c>
      <c r="B47" s="545"/>
      <c r="C47" s="545"/>
      <c r="D47" s="546"/>
      <c r="E47" s="135">
        <f>SUM(E28:E46)</f>
        <v>117464</v>
      </c>
      <c r="F47" s="12"/>
      <c r="G47" s="93"/>
      <c r="H47" s="25" t="str">
        <f>IF(F47=0," ",VLOOKUP(F47,[16]Sheet1!$A$1:$B$8,2,FALSE))</f>
        <v xml:space="preserve"> </v>
      </c>
    </row>
    <row r="48" spans="1:8" ht="15.75" thickBot="1" x14ac:dyDescent="0.3">
      <c r="A48" s="520" t="s">
        <v>169</v>
      </c>
      <c r="B48" s="521"/>
      <c r="C48" s="521"/>
      <c r="D48" s="521"/>
      <c r="E48" s="521"/>
      <c r="F48" s="521"/>
      <c r="G48" s="522"/>
      <c r="H48" s="37"/>
    </row>
    <row r="49" spans="1:10" ht="57" thickBot="1" x14ac:dyDescent="0.3">
      <c r="A49" s="136" t="s">
        <v>414</v>
      </c>
      <c r="B49" s="132" t="s">
        <v>218</v>
      </c>
      <c r="C49" s="137">
        <v>20</v>
      </c>
      <c r="D49" s="134">
        <v>15048.5</v>
      </c>
      <c r="E49" s="140">
        <f>C49*D49</f>
        <v>300970</v>
      </c>
      <c r="F49" s="12" t="s">
        <v>56</v>
      </c>
      <c r="G49" s="93"/>
      <c r="H49" s="25"/>
    </row>
    <row r="50" spans="1:10" ht="16.5" thickBot="1" x14ac:dyDescent="0.3">
      <c r="A50" s="136"/>
      <c r="B50" s="225"/>
      <c r="C50" s="137"/>
      <c r="D50" s="134"/>
      <c r="E50" s="140"/>
      <c r="F50" s="12"/>
      <c r="G50" s="93"/>
      <c r="H50" s="25" t="str">
        <f>IF(F50=0," ",VLOOKUP(F50,[16]Sheet1!$A$1:$B$8,2,FALSE))</f>
        <v xml:space="preserve"> </v>
      </c>
    </row>
    <row r="51" spans="1:10" ht="16.5" thickBot="1" x14ac:dyDescent="0.3">
      <c r="A51" s="544" t="s">
        <v>6</v>
      </c>
      <c r="B51" s="545"/>
      <c r="C51" s="545"/>
      <c r="D51" s="546"/>
      <c r="E51" s="135">
        <f>SUM(E49:E50)</f>
        <v>300970</v>
      </c>
      <c r="F51" s="12"/>
      <c r="G51" s="93"/>
      <c r="H51" s="25" t="str">
        <f>IF(F51=0," ",VLOOKUP(F51,[16]Sheet1!$A$1:$B$8,2,FALSE))</f>
        <v xml:space="preserve"> </v>
      </c>
    </row>
    <row r="52" spans="1:10" ht="16.5" thickBot="1" x14ac:dyDescent="0.3">
      <c r="A52" s="149" t="s">
        <v>226</v>
      </c>
      <c r="B52" s="316"/>
      <c r="C52" s="316"/>
      <c r="D52" s="316"/>
      <c r="E52" s="316"/>
      <c r="F52" s="316"/>
      <c r="G52" s="317"/>
      <c r="H52" s="37"/>
    </row>
    <row r="53" spans="1:10" ht="57" thickBot="1" x14ac:dyDescent="0.3">
      <c r="A53" s="136" t="s">
        <v>415</v>
      </c>
      <c r="B53" s="138" t="s">
        <v>219</v>
      </c>
      <c r="C53" s="139">
        <v>5</v>
      </c>
      <c r="D53" s="140">
        <v>10000</v>
      </c>
      <c r="E53" s="134">
        <f>C53*D53</f>
        <v>50000</v>
      </c>
      <c r="F53" s="12" t="s">
        <v>57</v>
      </c>
      <c r="G53" s="93"/>
      <c r="H53" s="25" t="str">
        <f>IF(F53=0," ",VLOOKUP(F53,[16]Sheet1!$A$1:$B$8,2,FALSE))</f>
        <v>Include a reference to the relevant article of the project contract.
Examples of costs: information/publicity, translations, specific evaluation, audits, charges for financial transactions, etc.</v>
      </c>
    </row>
    <row r="54" spans="1:10" ht="63.75" thickBot="1" x14ac:dyDescent="0.3">
      <c r="A54" s="136" t="s">
        <v>748</v>
      </c>
      <c r="B54" s="138" t="s">
        <v>219</v>
      </c>
      <c r="C54" s="139">
        <v>6</v>
      </c>
      <c r="D54" s="140">
        <v>700</v>
      </c>
      <c r="E54" s="134">
        <f t="shared" ref="E54:E59" si="2">C54*D54</f>
        <v>4200</v>
      </c>
      <c r="F54" s="12" t="s">
        <v>57</v>
      </c>
      <c r="G54" s="93"/>
      <c r="H54" s="25"/>
    </row>
    <row r="55" spans="1:10" ht="57" thickBot="1" x14ac:dyDescent="0.3">
      <c r="A55" s="136" t="s">
        <v>416</v>
      </c>
      <c r="B55" s="137" t="s">
        <v>223</v>
      </c>
      <c r="C55" s="137">
        <v>1000</v>
      </c>
      <c r="D55" s="134">
        <v>8</v>
      </c>
      <c r="E55" s="134">
        <f t="shared" si="2"/>
        <v>8000</v>
      </c>
      <c r="F55" s="12" t="s">
        <v>56</v>
      </c>
      <c r="G55" s="93"/>
      <c r="H55" s="25"/>
    </row>
    <row r="56" spans="1:10" ht="57" thickBot="1" x14ac:dyDescent="0.3">
      <c r="A56" s="136" t="s">
        <v>417</v>
      </c>
      <c r="B56" s="138" t="s">
        <v>212</v>
      </c>
      <c r="C56" s="139">
        <v>40</v>
      </c>
      <c r="D56" s="140">
        <v>100</v>
      </c>
      <c r="E56" s="134">
        <f t="shared" si="2"/>
        <v>4000</v>
      </c>
      <c r="F56" s="12" t="s">
        <v>57</v>
      </c>
      <c r="G56" s="93"/>
      <c r="H56" s="25"/>
    </row>
    <row r="57" spans="1:10" ht="57" thickBot="1" x14ac:dyDescent="0.3">
      <c r="A57" s="136" t="s">
        <v>418</v>
      </c>
      <c r="B57" s="138" t="s">
        <v>212</v>
      </c>
      <c r="C57" s="139">
        <v>10</v>
      </c>
      <c r="D57" s="140">
        <v>400</v>
      </c>
      <c r="E57" s="134">
        <f t="shared" si="2"/>
        <v>4000</v>
      </c>
      <c r="F57" s="12" t="s">
        <v>56</v>
      </c>
      <c r="G57" s="93"/>
      <c r="H57" s="25"/>
    </row>
    <row r="58" spans="1:10" ht="57" thickBot="1" x14ac:dyDescent="0.3">
      <c r="A58" s="136" t="s">
        <v>419</v>
      </c>
      <c r="B58" s="141" t="s">
        <v>215</v>
      </c>
      <c r="C58" s="139">
        <v>1000</v>
      </c>
      <c r="D58" s="140">
        <v>4</v>
      </c>
      <c r="E58" s="134">
        <f t="shared" si="2"/>
        <v>4000</v>
      </c>
      <c r="F58" s="12" t="s">
        <v>56</v>
      </c>
      <c r="G58" s="93"/>
      <c r="H58" s="25"/>
    </row>
    <row r="59" spans="1:10" ht="57" thickBot="1" x14ac:dyDescent="0.3">
      <c r="A59" s="136" t="s">
        <v>749</v>
      </c>
      <c r="B59" s="137" t="s">
        <v>223</v>
      </c>
      <c r="C59" s="137">
        <v>1000</v>
      </c>
      <c r="D59" s="134">
        <v>8</v>
      </c>
      <c r="E59" s="134">
        <f t="shared" si="2"/>
        <v>8000</v>
      </c>
      <c r="F59" s="12" t="s">
        <v>56</v>
      </c>
      <c r="G59" s="93"/>
      <c r="H59" s="25"/>
    </row>
    <row r="60" spans="1:10" ht="79.5" thickBot="1" x14ac:dyDescent="0.3">
      <c r="A60" s="136" t="s">
        <v>420</v>
      </c>
      <c r="B60" s="138" t="s">
        <v>219</v>
      </c>
      <c r="C60" s="139">
        <v>1</v>
      </c>
      <c r="D60" s="140">
        <v>5938</v>
      </c>
      <c r="E60" s="134">
        <f>C60*D60</f>
        <v>5938</v>
      </c>
      <c r="F60" s="12" t="s">
        <v>56</v>
      </c>
      <c r="G60" s="93"/>
      <c r="H60" s="25"/>
    </row>
    <row r="61" spans="1:10" ht="16.5" thickBot="1" x14ac:dyDescent="0.3">
      <c r="A61" s="544" t="s">
        <v>123</v>
      </c>
      <c r="B61" s="545"/>
      <c r="C61" s="545"/>
      <c r="D61" s="550"/>
      <c r="E61" s="135">
        <f>SUM(E53:E60)</f>
        <v>88138</v>
      </c>
      <c r="F61" s="12"/>
      <c r="G61" s="93"/>
      <c r="H61" s="104"/>
    </row>
    <row r="62" spans="1:10" ht="16.5" thickBot="1" x14ac:dyDescent="0.3">
      <c r="A62" s="561" t="s">
        <v>11</v>
      </c>
      <c r="B62" s="562"/>
      <c r="C62" s="562"/>
      <c r="D62" s="563"/>
      <c r="E62" s="150">
        <f>E18+E26+E47+E51+E61</f>
        <v>613222</v>
      </c>
      <c r="F62" s="93"/>
      <c r="G62" s="93"/>
      <c r="H62" s="38"/>
    </row>
    <row r="63" spans="1:10" ht="15.75" thickBot="1" x14ac:dyDescent="0.3">
      <c r="A63" s="532" t="s">
        <v>227</v>
      </c>
      <c r="B63" s="533"/>
      <c r="C63" s="533"/>
      <c r="D63" s="533"/>
      <c r="E63" s="533"/>
      <c r="F63" s="533"/>
      <c r="G63" s="534"/>
      <c r="H63" s="39"/>
    </row>
    <row r="64" spans="1:10" ht="16.5" thickBot="1" x14ac:dyDescent="0.3">
      <c r="A64" s="561" t="s">
        <v>13</v>
      </c>
      <c r="B64" s="562"/>
      <c r="C64" s="562"/>
      <c r="D64" s="563"/>
      <c r="E64" s="151">
        <f>0.2*(E18+E20+E28+E33+E36+E43+E45+E54+E25+E40+E21+E22+E23+E24+E31+E32+E38+E39+E41+E42+E56)</f>
        <v>36778</v>
      </c>
      <c r="F64" s="93"/>
      <c r="G64" s="93"/>
      <c r="H64" s="40" t="s">
        <v>228</v>
      </c>
      <c r="J64" s="283">
        <f>E64/E62</f>
        <v>5.9975017204209898E-2</v>
      </c>
    </row>
    <row r="65" spans="1:8" ht="16.5" thickBot="1" x14ac:dyDescent="0.3">
      <c r="A65" s="529" t="s">
        <v>22</v>
      </c>
      <c r="B65" s="530"/>
      <c r="C65" s="530"/>
      <c r="D65" s="531"/>
      <c r="E65" s="152">
        <f>E62+E64</f>
        <v>650000</v>
      </c>
      <c r="F65" s="93"/>
      <c r="G65" s="93"/>
      <c r="H65" s="41"/>
    </row>
    <row r="66" spans="1:8" ht="15.75" thickBot="1" x14ac:dyDescent="0.3">
      <c r="A66" s="15"/>
      <c r="B66" s="15"/>
      <c r="C66" s="15"/>
      <c r="D66" s="15"/>
      <c r="E66" s="15"/>
      <c r="F66" s="15"/>
      <c r="G66" s="15"/>
      <c r="H66" s="128"/>
    </row>
    <row r="67" spans="1:8" ht="15.75" thickBot="1" x14ac:dyDescent="0.3">
      <c r="A67" s="486" t="s">
        <v>229</v>
      </c>
      <c r="B67" s="486"/>
      <c r="C67" s="486"/>
      <c r="D67" s="486"/>
      <c r="E67" s="9"/>
      <c r="F67" s="15"/>
      <c r="G67" s="15"/>
      <c r="H67" s="128"/>
    </row>
    <row r="68" spans="1:8" ht="15.75" thickBot="1" x14ac:dyDescent="0.3">
      <c r="A68" s="486" t="s">
        <v>20</v>
      </c>
      <c r="B68" s="486"/>
      <c r="C68" s="486"/>
      <c r="D68" s="486"/>
      <c r="E68" s="6"/>
      <c r="F68" s="15"/>
      <c r="G68" s="15"/>
      <c r="H68" s="128"/>
    </row>
    <row r="69" spans="1:8" x14ac:dyDescent="0.25">
      <c r="A69" s="15"/>
      <c r="B69" s="15"/>
      <c r="C69" s="15"/>
      <c r="D69" s="15"/>
      <c r="E69" s="15"/>
      <c r="F69" s="15"/>
      <c r="G69" s="15"/>
      <c r="H69" s="128"/>
    </row>
    <row r="70" spans="1:8" ht="15.75" thickBot="1" x14ac:dyDescent="0.3">
      <c r="A70" s="15"/>
      <c r="B70" s="15"/>
      <c r="C70" s="15"/>
      <c r="D70" s="15"/>
      <c r="E70" s="15"/>
      <c r="F70" s="15"/>
      <c r="G70" s="15"/>
      <c r="H70" s="128"/>
    </row>
    <row r="71" spans="1:8" ht="23.25" thickBot="1" x14ac:dyDescent="0.3">
      <c r="A71" s="21" t="s">
        <v>35</v>
      </c>
      <c r="B71" s="19" t="s">
        <v>27</v>
      </c>
      <c r="C71" s="19" t="s">
        <v>28</v>
      </c>
      <c r="D71" s="19" t="s">
        <v>29</v>
      </c>
      <c r="E71" s="19" t="s">
        <v>30</v>
      </c>
      <c r="F71" s="19" t="s">
        <v>230</v>
      </c>
      <c r="G71" s="19" t="s">
        <v>25</v>
      </c>
      <c r="H71" s="42" t="s">
        <v>26</v>
      </c>
    </row>
    <row r="72" spans="1:8" ht="16.5" thickBot="1" x14ac:dyDescent="0.3">
      <c r="A72" s="315" t="s">
        <v>50</v>
      </c>
      <c r="B72" s="136">
        <f>E18</f>
        <v>49500</v>
      </c>
      <c r="C72" s="153">
        <f>B72/4</f>
        <v>12375</v>
      </c>
      <c r="D72" s="139">
        <f>B72/4</f>
        <v>12375</v>
      </c>
      <c r="E72" s="140">
        <f>B72/4</f>
        <v>12375</v>
      </c>
      <c r="F72" s="140">
        <f>B72/4</f>
        <v>12375</v>
      </c>
      <c r="G72" s="154"/>
      <c r="H72" s="41"/>
    </row>
    <row r="73" spans="1:8" ht="23.25" thickBot="1" x14ac:dyDescent="0.3">
      <c r="A73" s="315" t="s">
        <v>51</v>
      </c>
      <c r="B73" s="131"/>
      <c r="C73" s="153">
        <f>E21+E22+E23+E24</f>
        <v>37650</v>
      </c>
      <c r="D73" s="137">
        <f>E31+E32+E33+E38+E39+E41+E42+E43</f>
        <v>58600</v>
      </c>
      <c r="E73" s="134"/>
      <c r="F73" s="134"/>
      <c r="G73" s="154">
        <f>SUM(C73:F73)</f>
        <v>96250</v>
      </c>
      <c r="H73" s="41"/>
    </row>
    <row r="74" spans="1:8" ht="23.25" thickBot="1" x14ac:dyDescent="0.3">
      <c r="A74" s="315" t="s">
        <v>52</v>
      </c>
      <c r="B74" s="131"/>
      <c r="C74" s="132"/>
      <c r="D74" s="137"/>
      <c r="E74" s="134"/>
      <c r="F74" s="134"/>
      <c r="G74" s="154"/>
      <c r="H74" s="41"/>
    </row>
    <row r="75" spans="1:8" ht="23.25" thickBot="1" x14ac:dyDescent="0.3">
      <c r="A75" s="315" t="s">
        <v>53</v>
      </c>
      <c r="B75" s="131"/>
      <c r="C75" s="132"/>
      <c r="D75" s="137"/>
      <c r="E75" s="134"/>
      <c r="F75" s="134"/>
      <c r="G75" s="154"/>
      <c r="H75" s="41"/>
    </row>
    <row r="76" spans="1:8" ht="23.25" thickBot="1" x14ac:dyDescent="0.3">
      <c r="A76" s="315" t="s">
        <v>54</v>
      </c>
      <c r="B76" s="131"/>
      <c r="C76" s="132"/>
      <c r="D76" s="137"/>
      <c r="E76" s="134"/>
      <c r="F76" s="134"/>
      <c r="G76" s="154"/>
      <c r="H76" s="41"/>
    </row>
    <row r="77" spans="1:8" ht="16.5" thickBot="1" x14ac:dyDescent="0.3">
      <c r="A77" s="315" t="s">
        <v>55</v>
      </c>
      <c r="B77" s="131"/>
      <c r="C77" s="132"/>
      <c r="D77" s="137"/>
      <c r="E77" s="134"/>
      <c r="F77" s="134"/>
      <c r="G77" s="154"/>
      <c r="H77" s="41"/>
    </row>
    <row r="78" spans="1:8" ht="23.25" thickBot="1" x14ac:dyDescent="0.3">
      <c r="A78" s="315" t="s">
        <v>56</v>
      </c>
      <c r="B78" s="131"/>
      <c r="C78" s="153"/>
      <c r="D78" s="137">
        <f>E29+E30+E34+E35+E37+E44+E46</f>
        <v>48424</v>
      </c>
      <c r="E78" s="134">
        <f>E49</f>
        <v>300970</v>
      </c>
      <c r="F78" s="134">
        <f>E53+E55+E57+E58+E59+E60</f>
        <v>79938</v>
      </c>
      <c r="G78" s="154">
        <f>SUM(C78:F78)</f>
        <v>429332</v>
      </c>
      <c r="H78" s="107"/>
    </row>
    <row r="79" spans="1:8" ht="23.25" thickBot="1" x14ac:dyDescent="0.3">
      <c r="A79" s="315" t="s">
        <v>57</v>
      </c>
      <c r="B79" s="131"/>
      <c r="C79" s="153">
        <f>E20+E25</f>
        <v>19500</v>
      </c>
      <c r="D79" s="137">
        <f>E28+E36+E40+E45</f>
        <v>10440</v>
      </c>
      <c r="E79" s="134"/>
      <c r="F79" s="134">
        <f>E54+E56</f>
        <v>8200</v>
      </c>
      <c r="G79" s="154">
        <f>SUM(C79:F79)</f>
        <v>38140</v>
      </c>
      <c r="H79" s="107"/>
    </row>
    <row r="80" spans="1:8" ht="16.5" thickBot="1" x14ac:dyDescent="0.3">
      <c r="A80" s="315" t="s">
        <v>32</v>
      </c>
      <c r="B80" s="131"/>
      <c r="C80" s="132"/>
      <c r="D80" s="137"/>
      <c r="E80" s="134"/>
      <c r="F80" s="134"/>
      <c r="G80" s="154">
        <f>E64</f>
        <v>36778</v>
      </c>
      <c r="H80" s="107"/>
    </row>
    <row r="81" spans="1:8" ht="16.5" thickBot="1" x14ac:dyDescent="0.3">
      <c r="A81" s="19" t="s">
        <v>33</v>
      </c>
      <c r="B81" s="131">
        <f>B72</f>
        <v>49500</v>
      </c>
      <c r="C81" s="132">
        <f>SUM(C73:C80)</f>
        <v>57150</v>
      </c>
      <c r="D81" s="137">
        <f>SUM(D73:D80)</f>
        <v>117464</v>
      </c>
      <c r="E81" s="134">
        <f>SUM(E73:E80)</f>
        <v>300970</v>
      </c>
      <c r="F81" s="134">
        <f>SUM(F73:F80)</f>
        <v>88138</v>
      </c>
      <c r="G81" s="155">
        <f>SUM(B81:F81)+E64</f>
        <v>650000</v>
      </c>
      <c r="H81" s="43"/>
    </row>
    <row r="82" spans="1:8" ht="16.5" thickBot="1" x14ac:dyDescent="0.3">
      <c r="A82" s="19" t="s">
        <v>34</v>
      </c>
      <c r="B82" s="131"/>
      <c r="C82" s="132"/>
      <c r="D82" s="137"/>
      <c r="E82" s="134"/>
      <c r="F82" s="134"/>
      <c r="G82" s="154"/>
      <c r="H82" s="43"/>
    </row>
    <row r="89" spans="1:8" x14ac:dyDescent="0.25">
      <c r="A89" s="292" t="s">
        <v>538</v>
      </c>
      <c r="B89" s="294">
        <f>E18+E26+E47+E61</f>
        <v>312252</v>
      </c>
    </row>
    <row r="90" spans="1:8" x14ac:dyDescent="0.25">
      <c r="A90" s="292" t="s">
        <v>539</v>
      </c>
      <c r="B90" s="294">
        <f>ROUND(B89*6%,2)</f>
        <v>18735.12</v>
      </c>
      <c r="D90" s="291"/>
    </row>
    <row r="91" spans="1:8" x14ac:dyDescent="0.25">
      <c r="A91" s="293" t="s">
        <v>34</v>
      </c>
      <c r="B91" s="295">
        <f>(B89+B90)/E65</f>
        <v>0.50921095384615389</v>
      </c>
    </row>
  </sheetData>
  <mergeCells count="22">
    <mergeCell ref="A27:G27"/>
    <mergeCell ref="B3:G3"/>
    <mergeCell ref="B4:G4"/>
    <mergeCell ref="B5:G5"/>
    <mergeCell ref="B6:G6"/>
    <mergeCell ref="B7:G7"/>
    <mergeCell ref="B8:G8"/>
    <mergeCell ref="A11:G11"/>
    <mergeCell ref="A12:G12"/>
    <mergeCell ref="A18:D18"/>
    <mergeCell ref="A19:G19"/>
    <mergeCell ref="A26:D26"/>
    <mergeCell ref="A64:D64"/>
    <mergeCell ref="A65:D65"/>
    <mergeCell ref="A67:D67"/>
    <mergeCell ref="A68:D68"/>
    <mergeCell ref="A47:D47"/>
    <mergeCell ref="A48:G48"/>
    <mergeCell ref="A51:D51"/>
    <mergeCell ref="A61:D61"/>
    <mergeCell ref="A62:D62"/>
    <mergeCell ref="A63:G6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18"/>
  <sheetViews>
    <sheetView zoomScaleNormal="100" workbookViewId="0">
      <selection activeCell="B104" sqref="B104"/>
    </sheetView>
  </sheetViews>
  <sheetFormatPr defaultColWidth="0" defaultRowHeight="15" zeroHeight="1" outlineLevelRow="1" x14ac:dyDescent="0.25"/>
  <cols>
    <col min="1" max="1" width="53.42578125" style="439" customWidth="1"/>
    <col min="2" max="5" width="10.5703125" style="439" customWidth="1"/>
    <col min="6" max="6" width="17.85546875" style="439" customWidth="1"/>
    <col min="7" max="7" width="35.42578125" style="439" customWidth="1"/>
    <col min="8" max="8" width="33.140625" style="440" customWidth="1"/>
    <col min="9" max="10" width="9.140625" style="226" customWidth="1"/>
    <col min="11" max="16384" width="9.140625" style="439" hidden="1"/>
  </cols>
  <sheetData>
    <row r="1" spans="1:8" x14ac:dyDescent="0.25">
      <c r="A1" s="13" t="s">
        <v>17</v>
      </c>
      <c r="B1" s="14"/>
      <c r="C1" s="14"/>
      <c r="D1" s="226"/>
      <c r="E1" s="226"/>
      <c r="F1" s="226"/>
      <c r="G1" s="226"/>
      <c r="H1" s="128"/>
    </row>
    <row r="2" spans="1:8" ht="15.75" thickBot="1" x14ac:dyDescent="0.3">
      <c r="A2" s="226"/>
      <c r="B2" s="226"/>
      <c r="C2" s="226"/>
      <c r="D2" s="226"/>
      <c r="E2" s="226"/>
      <c r="F2" s="226"/>
      <c r="G2" s="226"/>
      <c r="H2" s="128"/>
    </row>
    <row r="3" spans="1:8" ht="15.75" thickBot="1" x14ac:dyDescent="0.3">
      <c r="A3" s="7" t="s">
        <v>7</v>
      </c>
      <c r="B3" s="499" t="s">
        <v>171</v>
      </c>
      <c r="C3" s="500"/>
      <c r="D3" s="500"/>
      <c r="E3" s="500"/>
      <c r="F3" s="500"/>
      <c r="G3" s="501"/>
      <c r="H3" s="30"/>
    </row>
    <row r="4" spans="1:8" ht="15.75" thickBot="1" x14ac:dyDescent="0.3">
      <c r="A4" s="8" t="s">
        <v>15</v>
      </c>
      <c r="B4" s="499" t="s">
        <v>421</v>
      </c>
      <c r="C4" s="500"/>
      <c r="D4" s="500"/>
      <c r="E4" s="500"/>
      <c r="F4" s="500"/>
      <c r="G4" s="501"/>
      <c r="H4" s="30"/>
    </row>
    <row r="5" spans="1:8" ht="15.75" thickBot="1" x14ac:dyDescent="0.3">
      <c r="A5" s="8" t="s">
        <v>8</v>
      </c>
      <c r="B5" s="499" t="s">
        <v>774</v>
      </c>
      <c r="C5" s="500"/>
      <c r="D5" s="500"/>
      <c r="E5" s="500"/>
      <c r="F5" s="500"/>
      <c r="G5" s="501"/>
      <c r="H5" s="30"/>
    </row>
    <row r="6" spans="1:8" ht="15.75" thickBot="1" x14ac:dyDescent="0.3">
      <c r="A6" s="8" t="s">
        <v>16</v>
      </c>
      <c r="B6" s="539" t="s">
        <v>422</v>
      </c>
      <c r="C6" s="540"/>
      <c r="D6" s="540"/>
      <c r="E6" s="540"/>
      <c r="F6" s="540"/>
      <c r="G6" s="541"/>
      <c r="H6" s="31"/>
    </row>
    <row r="7" spans="1:8" ht="15.75" thickBot="1" x14ac:dyDescent="0.3">
      <c r="A7" s="8" t="s">
        <v>2</v>
      </c>
      <c r="B7" s="505">
        <v>1</v>
      </c>
      <c r="C7" s="506"/>
      <c r="D7" s="506"/>
      <c r="E7" s="506"/>
      <c r="F7" s="506"/>
      <c r="G7" s="507"/>
      <c r="H7" s="32"/>
    </row>
    <row r="8" spans="1:8" ht="15.75" thickBot="1" x14ac:dyDescent="0.3">
      <c r="A8" s="8" t="s">
        <v>9</v>
      </c>
      <c r="B8" s="508" t="s">
        <v>110</v>
      </c>
      <c r="C8" s="509"/>
      <c r="D8" s="509"/>
      <c r="E8" s="509"/>
      <c r="F8" s="509"/>
      <c r="G8" s="510"/>
      <c r="H8" s="32"/>
    </row>
    <row r="9" spans="1:8" ht="15.75" thickBot="1" x14ac:dyDescent="0.3">
      <c r="A9" s="23"/>
      <c r="B9" s="24"/>
      <c r="C9" s="22"/>
      <c r="D9" s="22"/>
      <c r="E9" s="22"/>
      <c r="F9" s="22"/>
      <c r="G9" s="22"/>
      <c r="H9" s="33"/>
    </row>
    <row r="10" spans="1:8" ht="47.25" customHeight="1" thickBot="1" x14ac:dyDescent="0.3">
      <c r="A10" s="28"/>
      <c r="B10" s="26" t="s">
        <v>0</v>
      </c>
      <c r="C10" s="26" t="s">
        <v>14</v>
      </c>
      <c r="D10" s="26" t="s">
        <v>23</v>
      </c>
      <c r="E10" s="26" t="s">
        <v>18</v>
      </c>
      <c r="F10" s="26" t="s">
        <v>10</v>
      </c>
      <c r="G10" s="27" t="s">
        <v>1</v>
      </c>
      <c r="H10" s="34" t="s">
        <v>36</v>
      </c>
    </row>
    <row r="11" spans="1:8" ht="15.75" thickBot="1" x14ac:dyDescent="0.3">
      <c r="A11" s="511" t="s">
        <v>423</v>
      </c>
      <c r="B11" s="512"/>
      <c r="C11" s="512"/>
      <c r="D11" s="512"/>
      <c r="E11" s="512"/>
      <c r="F11" s="512"/>
      <c r="G11" s="513"/>
      <c r="H11" s="35"/>
    </row>
    <row r="12" spans="1:8" ht="15.75" thickBot="1" x14ac:dyDescent="0.3">
      <c r="A12" s="514" t="s">
        <v>24</v>
      </c>
      <c r="B12" s="515"/>
      <c r="C12" s="515"/>
      <c r="D12" s="515"/>
      <c r="E12" s="515"/>
      <c r="F12" s="515"/>
      <c r="G12" s="516"/>
      <c r="H12" s="36"/>
    </row>
    <row r="13" spans="1:8" ht="34.5" outlineLevel="1" thickBot="1" x14ac:dyDescent="0.3">
      <c r="A13" s="159" t="s">
        <v>424</v>
      </c>
      <c r="B13" s="4" t="s">
        <v>425</v>
      </c>
      <c r="C13" s="463">
        <v>16</v>
      </c>
      <c r="D13" s="4">
        <v>4356</v>
      </c>
      <c r="E13" s="4">
        <f t="shared" ref="E13:E21" si="0">C13*D13</f>
        <v>69696</v>
      </c>
      <c r="F13" s="12" t="s">
        <v>50</v>
      </c>
      <c r="G13" s="5"/>
      <c r="H13" s="25">
        <f>IF(F13=0,"  ",VLOOKUP(F13,[17]Sheet1!$A$1:$B$8,2,FALSE))</f>
        <v>0</v>
      </c>
    </row>
    <row r="14" spans="1:8" ht="34.5" outlineLevel="1" thickBot="1" x14ac:dyDescent="0.3">
      <c r="A14" s="464" t="s">
        <v>426</v>
      </c>
      <c r="B14" s="465" t="s">
        <v>425</v>
      </c>
      <c r="C14" s="466">
        <v>16</v>
      </c>
      <c r="D14" s="465">
        <v>3000</v>
      </c>
      <c r="E14" s="465">
        <f t="shared" si="0"/>
        <v>48000</v>
      </c>
      <c r="F14" s="12" t="s">
        <v>50</v>
      </c>
      <c r="G14" s="5"/>
      <c r="H14" s="25">
        <f>IF(F14=0,"  ",VLOOKUP(F14,[17]Sheet1!$A$1:$B$8,2,FALSE))</f>
        <v>0</v>
      </c>
    </row>
    <row r="15" spans="1:8" ht="34.5" outlineLevel="1" thickBot="1" x14ac:dyDescent="0.3">
      <c r="A15" s="464" t="s">
        <v>775</v>
      </c>
      <c r="B15" s="467" t="s">
        <v>425</v>
      </c>
      <c r="C15" s="466">
        <v>48</v>
      </c>
      <c r="D15" s="465">
        <v>700</v>
      </c>
      <c r="E15" s="465">
        <f t="shared" si="0"/>
        <v>33600</v>
      </c>
      <c r="F15" s="12" t="s">
        <v>55</v>
      </c>
      <c r="G15" s="5"/>
      <c r="H15" s="25">
        <f>IF(F15=0,"  ",VLOOKUP(F15,[17]Sheet1!$A$1:$B$8,2,FALSE))</f>
        <v>0</v>
      </c>
    </row>
    <row r="16" spans="1:8" ht="34.5" outlineLevel="1" thickBot="1" x14ac:dyDescent="0.3">
      <c r="A16" s="468" t="s">
        <v>776</v>
      </c>
      <c r="B16" s="469" t="s">
        <v>425</v>
      </c>
      <c r="C16" s="470">
        <v>48</v>
      </c>
      <c r="D16" s="471">
        <v>400</v>
      </c>
      <c r="E16" s="465">
        <f>C16*D16</f>
        <v>19200</v>
      </c>
      <c r="F16" s="12" t="s">
        <v>55</v>
      </c>
      <c r="G16" s="5"/>
      <c r="H16" s="25"/>
    </row>
    <row r="17" spans="1:10" ht="57" outlineLevel="1" thickBot="1" x14ac:dyDescent="0.3">
      <c r="A17" s="468" t="s">
        <v>777</v>
      </c>
      <c r="B17" s="469" t="s">
        <v>427</v>
      </c>
      <c r="C17" s="470">
        <v>1</v>
      </c>
      <c r="D17" s="471">
        <v>4618</v>
      </c>
      <c r="E17" s="471">
        <f t="shared" si="0"/>
        <v>4618</v>
      </c>
      <c r="F17" s="12" t="s">
        <v>57</v>
      </c>
      <c r="G17" s="5"/>
      <c r="H17" s="25" t="str">
        <f>IF(F17=0,"  ",VLOOKUP(F17,[17]Sheet1!$A$1:$B$8,2,FALSE))</f>
        <v>Include a reference to the relevant article of the project contract.
Examples of costs: information/publicity, translations, specific evaluation, audits, charges for financial transactions, etc.</v>
      </c>
    </row>
    <row r="18" spans="1:10" ht="34.5" outlineLevel="1" thickBot="1" x14ac:dyDescent="0.3">
      <c r="A18" s="472" t="s">
        <v>778</v>
      </c>
      <c r="B18" s="473" t="s">
        <v>425</v>
      </c>
      <c r="C18" s="470">
        <v>48</v>
      </c>
      <c r="D18" s="471">
        <v>150</v>
      </c>
      <c r="E18" s="471">
        <f>C18*D18</f>
        <v>7200</v>
      </c>
      <c r="F18" s="12" t="s">
        <v>55</v>
      </c>
      <c r="G18" s="5"/>
      <c r="H18" s="25">
        <f>IF(F18=0,"  ",VLOOKUP(F18,[17]Sheet1!$A$1:$B$8,2,FALSE))</f>
        <v>0</v>
      </c>
    </row>
    <row r="19" spans="1:10" ht="34.5" outlineLevel="1" thickBot="1" x14ac:dyDescent="0.3">
      <c r="A19" s="474" t="s">
        <v>779</v>
      </c>
      <c r="B19" s="473" t="s">
        <v>425</v>
      </c>
      <c r="C19" s="470">
        <v>48</v>
      </c>
      <c r="D19" s="471">
        <v>50</v>
      </c>
      <c r="E19" s="471">
        <f t="shared" si="0"/>
        <v>2400</v>
      </c>
      <c r="F19" s="12" t="s">
        <v>55</v>
      </c>
      <c r="G19" s="5"/>
      <c r="H19" s="25">
        <f>IF(F19=0,"  ",VLOOKUP(F19,[17]Sheet1!$A$1:$B$8,2,FALSE))</f>
        <v>0</v>
      </c>
    </row>
    <row r="20" spans="1:10" ht="15.75" outlineLevel="1" thickBot="1" x14ac:dyDescent="0.3">
      <c r="A20" s="475"/>
      <c r="B20" s="476"/>
      <c r="C20" s="470"/>
      <c r="D20" s="471"/>
      <c r="E20" s="471">
        <f t="shared" si="0"/>
        <v>0</v>
      </c>
      <c r="F20" s="12"/>
      <c r="G20" s="5"/>
      <c r="H20" s="25" t="str">
        <f>IF(F20=0,"  ",VLOOKUP(F20,[17]Sheet1!$A$1:$B$8,2,FALSE))</f>
        <v xml:space="preserve">  </v>
      </c>
    </row>
    <row r="21" spans="1:10" ht="31.5" customHeight="1" outlineLevel="1" thickBot="1" x14ac:dyDescent="0.3">
      <c r="A21" s="228"/>
      <c r="B21" s="231"/>
      <c r="C21" s="229"/>
      <c r="D21" s="227"/>
      <c r="E21" s="227">
        <f t="shared" si="0"/>
        <v>0</v>
      </c>
      <c r="F21" s="12"/>
      <c r="G21" s="5"/>
      <c r="H21" s="25" t="str">
        <f>IF(F21=0,"  ",VLOOKUP(F21,[17]Sheet1!$A$1:$B$8,2,FALSE))</f>
        <v xml:space="preserve">  </v>
      </c>
    </row>
    <row r="22" spans="1:10" ht="15.75" customHeight="1" thickBot="1" x14ac:dyDescent="0.3">
      <c r="A22" s="517" t="s">
        <v>3</v>
      </c>
      <c r="B22" s="518"/>
      <c r="C22" s="518"/>
      <c r="D22" s="519"/>
      <c r="E22" s="102">
        <f>SUM(E13:E21)</f>
        <v>184714</v>
      </c>
      <c r="F22" s="12"/>
      <c r="G22" s="87"/>
      <c r="H22" s="25" t="str">
        <f>IF(F22=0," ",VLOOKUP(F22,[17]Sheet1!$A$1:$B$8,2,FALSE))</f>
        <v xml:space="preserve"> </v>
      </c>
    </row>
    <row r="23" spans="1:10" ht="32.25" customHeight="1" thickBot="1" x14ac:dyDescent="0.3">
      <c r="A23" s="646" t="s">
        <v>428</v>
      </c>
      <c r="B23" s="647"/>
      <c r="C23" s="647"/>
      <c r="D23" s="647"/>
      <c r="E23" s="647"/>
      <c r="F23" s="647"/>
      <c r="G23" s="648"/>
      <c r="H23" s="232"/>
      <c r="I23" s="439"/>
      <c r="J23" s="439"/>
    </row>
    <row r="24" spans="1:10" ht="15.75" thickBot="1" x14ac:dyDescent="0.3">
      <c r="A24" s="520" t="s">
        <v>429</v>
      </c>
      <c r="B24" s="521"/>
      <c r="C24" s="521"/>
      <c r="D24" s="521"/>
      <c r="E24" s="521"/>
      <c r="F24" s="521"/>
      <c r="G24" s="522"/>
      <c r="H24" s="37"/>
    </row>
    <row r="25" spans="1:10" ht="57" outlineLevel="1" thickBot="1" x14ac:dyDescent="0.3">
      <c r="A25" s="233" t="s">
        <v>780</v>
      </c>
      <c r="B25" s="229" t="s">
        <v>430</v>
      </c>
      <c r="C25" s="229">
        <v>1</v>
      </c>
      <c r="D25" s="227">
        <v>10000</v>
      </c>
      <c r="E25" s="4">
        <f t="shared" ref="E25:E35" si="1">C25*D25</f>
        <v>10000</v>
      </c>
      <c r="F25" s="12" t="s">
        <v>56</v>
      </c>
      <c r="G25" s="93"/>
      <c r="H25" s="25" t="str">
        <f>IF(F25=0,"  ",VLOOKUP(F25,[17]Sheet1!$A$1:$B$8,2,FALSE))</f>
        <v>Awarding should comply with the applicable rules on public procurement  (Regulations Art. 8.15).</v>
      </c>
    </row>
    <row r="26" spans="1:10" ht="57" outlineLevel="1" thickBot="1" x14ac:dyDescent="0.3">
      <c r="A26" s="477" t="s">
        <v>781</v>
      </c>
      <c r="B26" s="470" t="s">
        <v>430</v>
      </c>
      <c r="C26" s="470">
        <v>1</v>
      </c>
      <c r="D26" s="471">
        <v>21400</v>
      </c>
      <c r="E26" s="465">
        <f t="shared" si="1"/>
        <v>21400</v>
      </c>
      <c r="F26" s="478" t="s">
        <v>56</v>
      </c>
      <c r="G26" s="93"/>
      <c r="H26" s="25"/>
    </row>
    <row r="27" spans="1:10" ht="71.25" customHeight="1" outlineLevel="1" thickBot="1" x14ac:dyDescent="0.3">
      <c r="A27" s="455" t="s">
        <v>782</v>
      </c>
      <c r="B27" s="229" t="s">
        <v>430</v>
      </c>
      <c r="C27" s="229">
        <v>1</v>
      </c>
      <c r="D27" s="227">
        <v>5000</v>
      </c>
      <c r="E27" s="4">
        <f t="shared" si="1"/>
        <v>5000</v>
      </c>
      <c r="F27" s="12" t="s">
        <v>56</v>
      </c>
      <c r="G27" s="93"/>
      <c r="H27" s="25" t="str">
        <f>IF(F27=0,"  ",VLOOKUP(F27,[17]Sheet1!$A$1:$B$8,2,FALSE))</f>
        <v>Awarding should comply with the applicable rules on public procurement  (Regulations Art. 8.15).</v>
      </c>
    </row>
    <row r="28" spans="1:10" ht="15.75" outlineLevel="1" thickBot="1" x14ac:dyDescent="0.3">
      <c r="A28" s="1"/>
      <c r="B28" s="3"/>
      <c r="C28" s="3"/>
      <c r="D28" s="4"/>
      <c r="E28" s="4">
        <f t="shared" si="1"/>
        <v>0</v>
      </c>
      <c r="F28" s="12"/>
      <c r="G28" s="93"/>
      <c r="H28" s="25" t="str">
        <f>IF(F28=0,"  ",VLOOKUP(F28,[17]Sheet1!$A$1:$B$8,2,FALSE))</f>
        <v xml:space="preserve">  </v>
      </c>
    </row>
    <row r="29" spans="1:10" ht="15.75" outlineLevel="1" thickBot="1" x14ac:dyDescent="0.3">
      <c r="A29" s="1"/>
      <c r="B29" s="3"/>
      <c r="C29" s="3"/>
      <c r="D29" s="4"/>
      <c r="E29" s="4">
        <f t="shared" si="1"/>
        <v>0</v>
      </c>
      <c r="F29" s="12"/>
      <c r="G29" s="93"/>
      <c r="H29" s="25" t="str">
        <f>IF(F29=0,"  ",VLOOKUP(F29,[17]Sheet1!$A$1:$B$8,2,FALSE))</f>
        <v xml:space="preserve">  </v>
      </c>
    </row>
    <row r="30" spans="1:10" ht="15.75" outlineLevel="1" thickBot="1" x14ac:dyDescent="0.3">
      <c r="A30" s="1"/>
      <c r="B30" s="3"/>
      <c r="C30" s="3"/>
      <c r="D30" s="4"/>
      <c r="E30" s="4">
        <f t="shared" si="1"/>
        <v>0</v>
      </c>
      <c r="F30" s="12"/>
      <c r="G30" s="93"/>
      <c r="H30" s="25" t="str">
        <f>IF(F30=0,"  ",VLOOKUP(F30,[17]Sheet1!$A$1:$B$8,2,FALSE))</f>
        <v xml:space="preserve">  </v>
      </c>
    </row>
    <row r="31" spans="1:10" ht="15.75" outlineLevel="1" thickBot="1" x14ac:dyDescent="0.3">
      <c r="A31" s="1"/>
      <c r="B31" s="3"/>
      <c r="C31" s="3"/>
      <c r="D31" s="4"/>
      <c r="E31" s="4">
        <f t="shared" si="1"/>
        <v>0</v>
      </c>
      <c r="F31" s="12"/>
      <c r="G31" s="93"/>
      <c r="H31" s="25" t="str">
        <f>IF(F31=0,"  ",VLOOKUP(F31,[17]Sheet1!$A$1:$B$8,2,FALSE))</f>
        <v xml:space="preserve">  </v>
      </c>
    </row>
    <row r="32" spans="1:10" ht="15.75" outlineLevel="1" thickBot="1" x14ac:dyDescent="0.3">
      <c r="A32" s="1"/>
      <c r="B32" s="3"/>
      <c r="C32" s="3"/>
      <c r="D32" s="4"/>
      <c r="E32" s="4">
        <f t="shared" si="1"/>
        <v>0</v>
      </c>
      <c r="F32" s="12"/>
      <c r="G32" s="93"/>
      <c r="H32" s="25" t="str">
        <f>IF(F32=0,"  ",VLOOKUP(F32,[17]Sheet1!$A$1:$B$8,2,FALSE))</f>
        <v xml:space="preserve">  </v>
      </c>
    </row>
    <row r="33" spans="1:8" ht="15.75" outlineLevel="1" thickBot="1" x14ac:dyDescent="0.3">
      <c r="A33" s="1"/>
      <c r="B33" s="3"/>
      <c r="C33" s="3"/>
      <c r="D33" s="4"/>
      <c r="E33" s="4">
        <f t="shared" si="1"/>
        <v>0</v>
      </c>
      <c r="F33" s="12"/>
      <c r="G33" s="93"/>
      <c r="H33" s="25" t="str">
        <f>IF(F33=0,"  ",VLOOKUP(F33,[17]Sheet1!$A$1:$B$8,2,FALSE))</f>
        <v xml:space="preserve">  </v>
      </c>
    </row>
    <row r="34" spans="1:8" ht="15.75" outlineLevel="1" thickBot="1" x14ac:dyDescent="0.3">
      <c r="A34" s="1"/>
      <c r="B34" s="3"/>
      <c r="C34" s="3"/>
      <c r="D34" s="4"/>
      <c r="E34" s="4">
        <f t="shared" si="1"/>
        <v>0</v>
      </c>
      <c r="F34" s="12"/>
      <c r="G34" s="93"/>
      <c r="H34" s="25" t="str">
        <f>IF(F34=0,"  ",VLOOKUP(F34,[17]Sheet1!$A$1:$B$8,2,FALSE))</f>
        <v xml:space="preserve">  </v>
      </c>
    </row>
    <row r="35" spans="1:8" ht="15.75" outlineLevel="1" thickBot="1" x14ac:dyDescent="0.3">
      <c r="A35" s="1"/>
      <c r="B35" s="3"/>
      <c r="C35" s="3"/>
      <c r="D35" s="4"/>
      <c r="E35" s="4">
        <f t="shared" si="1"/>
        <v>0</v>
      </c>
      <c r="F35" s="12"/>
      <c r="G35" s="93"/>
      <c r="H35" s="25" t="str">
        <f>IF(F35=0,"  ",VLOOKUP(F35,[17]Sheet1!$A$1:$B$8,2,FALSE))</f>
        <v xml:space="preserve">  </v>
      </c>
    </row>
    <row r="36" spans="1:8" ht="15.75" thickBot="1" x14ac:dyDescent="0.3">
      <c r="A36" s="517" t="s">
        <v>4</v>
      </c>
      <c r="B36" s="518"/>
      <c r="C36" s="518"/>
      <c r="D36" s="523"/>
      <c r="E36" s="102">
        <f>SUM(E25:E35)</f>
        <v>36400</v>
      </c>
      <c r="F36" s="12"/>
      <c r="G36" s="93"/>
      <c r="H36" s="25" t="str">
        <f>IF(F36=0," ",VLOOKUP(F36,[17]Sheet1!$A$1:$B$8,2,FALSE))</f>
        <v xml:space="preserve"> </v>
      </c>
    </row>
    <row r="37" spans="1:8" ht="15.75" customHeight="1" thickBot="1" x14ac:dyDescent="0.3">
      <c r="A37" s="520" t="s">
        <v>431</v>
      </c>
      <c r="B37" s="521"/>
      <c r="C37" s="521"/>
      <c r="D37" s="521"/>
      <c r="E37" s="521"/>
      <c r="F37" s="521"/>
      <c r="G37" s="522"/>
      <c r="H37" s="37"/>
    </row>
    <row r="38" spans="1:8" ht="58.5" customHeight="1" outlineLevel="1" thickBot="1" x14ac:dyDescent="0.3">
      <c r="A38" s="12" t="s">
        <v>783</v>
      </c>
      <c r="B38" s="3" t="s">
        <v>430</v>
      </c>
      <c r="C38" s="3">
        <v>1</v>
      </c>
      <c r="D38" s="4">
        <v>8000</v>
      </c>
      <c r="E38" s="4">
        <f t="shared" ref="E38:E42" si="2">C38*D38</f>
        <v>8000</v>
      </c>
      <c r="F38" s="12" t="s">
        <v>56</v>
      </c>
      <c r="G38" s="93"/>
      <c r="H38" s="25" t="str">
        <f>IF(F38=0,"  ",VLOOKUP(F38,[17]Sheet1!$A$1:$B$8,2,FALSE))</f>
        <v>Awarding should comply with the applicable rules on public procurement  (Regulations Art. 8.15).</v>
      </c>
    </row>
    <row r="39" spans="1:8" ht="61.5" customHeight="1" outlineLevel="1" thickBot="1" x14ac:dyDescent="0.3">
      <c r="A39" s="478" t="s">
        <v>784</v>
      </c>
      <c r="B39" s="466" t="s">
        <v>430</v>
      </c>
      <c r="C39" s="466">
        <v>1</v>
      </c>
      <c r="D39" s="465">
        <v>25000</v>
      </c>
      <c r="E39" s="465">
        <f t="shared" si="2"/>
        <v>25000</v>
      </c>
      <c r="F39" s="12" t="s">
        <v>56</v>
      </c>
      <c r="G39" s="93"/>
      <c r="H39" s="25" t="str">
        <f>IF(F39=0,"  ",VLOOKUP(F39,[17]Sheet1!$A$1:$B$8,2,FALSE))</f>
        <v>Awarding should comply with the applicable rules on public procurement  (Regulations Art. 8.15).</v>
      </c>
    </row>
    <row r="40" spans="1:8" ht="33.75" customHeight="1" outlineLevel="1" thickBot="1" x14ac:dyDescent="0.3">
      <c r="A40" s="478" t="s">
        <v>785</v>
      </c>
      <c r="B40" s="466" t="s">
        <v>432</v>
      </c>
      <c r="C40" s="466">
        <v>162</v>
      </c>
      <c r="D40" s="465">
        <v>65</v>
      </c>
      <c r="E40" s="465">
        <f t="shared" si="2"/>
        <v>10530</v>
      </c>
      <c r="F40" s="12" t="s">
        <v>51</v>
      </c>
      <c r="G40" s="93" t="s">
        <v>433</v>
      </c>
      <c r="H40" s="25" t="str">
        <f>IF(F40=0,"  ",VLOOKUP(F40,[17]Sheet1!$A$1:$B$8,2,FALSE))</f>
        <v>If lump sums, include a reference to the defined rules approved by the PO.</v>
      </c>
    </row>
    <row r="41" spans="1:8" ht="48.75" customHeight="1" outlineLevel="1" thickBot="1" x14ac:dyDescent="0.3">
      <c r="A41" s="478" t="s">
        <v>786</v>
      </c>
      <c r="B41" s="466" t="s">
        <v>427</v>
      </c>
      <c r="C41" s="466">
        <v>1</v>
      </c>
      <c r="D41" s="465">
        <v>3000</v>
      </c>
      <c r="E41" s="465">
        <f t="shared" si="2"/>
        <v>3000</v>
      </c>
      <c r="F41" s="12" t="s">
        <v>51</v>
      </c>
      <c r="G41" s="90" t="s">
        <v>434</v>
      </c>
      <c r="H41" s="25" t="str">
        <f>IF(F41=0,"  ",VLOOKUP(F41,[17]Sheet1!$A$1:$B$8,2,FALSE))</f>
        <v>If lump sums, include a reference to the defined rules approved by the PO.</v>
      </c>
    </row>
    <row r="42" spans="1:8" ht="48.75" customHeight="1" outlineLevel="1" thickBot="1" x14ac:dyDescent="0.3">
      <c r="A42" s="464" t="s">
        <v>787</v>
      </c>
      <c r="B42" s="466" t="s">
        <v>425</v>
      </c>
      <c r="C42" s="466">
        <v>48</v>
      </c>
      <c r="D42" s="465">
        <v>1870</v>
      </c>
      <c r="E42" s="465">
        <f t="shared" si="2"/>
        <v>89760</v>
      </c>
      <c r="F42" s="12" t="s">
        <v>50</v>
      </c>
      <c r="G42" s="90"/>
      <c r="H42" s="25">
        <f>IF(F42=0,"  ",VLOOKUP(F42,[17]Sheet1!$A$1:$B$8,2,FALSE))</f>
        <v>0</v>
      </c>
    </row>
    <row r="43" spans="1:8" ht="48.75" customHeight="1" outlineLevel="1" thickBot="1" x14ac:dyDescent="0.3">
      <c r="A43" s="464" t="s">
        <v>788</v>
      </c>
      <c r="B43" s="470" t="s">
        <v>430</v>
      </c>
      <c r="C43" s="470">
        <v>1</v>
      </c>
      <c r="D43" s="471">
        <v>54750</v>
      </c>
      <c r="E43" s="471">
        <f>C43*D43</f>
        <v>54750</v>
      </c>
      <c r="F43" s="12" t="s">
        <v>56</v>
      </c>
      <c r="G43" s="90"/>
      <c r="H43" s="25" t="str">
        <f>IF(F43=0,"  ",VLOOKUP(F43,[17]Sheet1!$A$1:$B$8,2,FALSE))</f>
        <v>Awarding should comply with the applicable rules on public procurement  (Regulations Art. 8.15).</v>
      </c>
    </row>
    <row r="44" spans="1:8" ht="71.25" customHeight="1" outlineLevel="1" thickBot="1" x14ac:dyDescent="0.3">
      <c r="A44" s="478" t="s">
        <v>789</v>
      </c>
      <c r="B44" s="466" t="s">
        <v>430</v>
      </c>
      <c r="C44" s="466">
        <v>2</v>
      </c>
      <c r="D44" s="465">
        <v>1000</v>
      </c>
      <c r="E44" s="465">
        <f t="shared" ref="E44:E49" si="3">C44*D44</f>
        <v>2000</v>
      </c>
      <c r="F44" s="12" t="s">
        <v>53</v>
      </c>
      <c r="G44" s="93"/>
      <c r="H44" s="25" t="str">
        <f>IF(F44=0,"  ",VLOOKUP(F44,[17]Sheet1!$A$1:$B$8,2,FALSE))</f>
        <v xml:space="preserve">Refer to a document confirming that the PO determined the equipment as integral and necessary for achieving the outcomes of the PDP. </v>
      </c>
    </row>
    <row r="45" spans="1:8" ht="44.25" customHeight="1" outlineLevel="1" thickBot="1" x14ac:dyDescent="0.3">
      <c r="A45" s="175" t="s">
        <v>790</v>
      </c>
      <c r="B45" s="196" t="s">
        <v>430</v>
      </c>
      <c r="C45" s="196">
        <v>1</v>
      </c>
      <c r="D45" s="197">
        <v>1500</v>
      </c>
      <c r="E45" s="197">
        <f t="shared" si="3"/>
        <v>1500</v>
      </c>
      <c r="F45" s="12" t="s">
        <v>53</v>
      </c>
      <c r="G45" s="93"/>
      <c r="H45" s="25" t="str">
        <f>IF(F45=0,"  ",VLOOKUP(F45,[17]Sheet1!$A$1:$B$8,2,FALSE))</f>
        <v xml:space="preserve">Refer to a document confirming that the PO determined the equipment as integral and necessary for achieving the outcomes of the PDP. </v>
      </c>
    </row>
    <row r="46" spans="1:8" ht="49.5" customHeight="1" outlineLevel="1" thickBot="1" x14ac:dyDescent="0.3">
      <c r="A46" s="175" t="s">
        <v>791</v>
      </c>
      <c r="B46" s="196" t="s">
        <v>430</v>
      </c>
      <c r="C46" s="196">
        <v>1</v>
      </c>
      <c r="D46" s="197">
        <v>3000</v>
      </c>
      <c r="E46" s="197">
        <f t="shared" si="3"/>
        <v>3000</v>
      </c>
      <c r="F46" s="12" t="s">
        <v>53</v>
      </c>
      <c r="G46" s="93"/>
      <c r="H46" s="25" t="str">
        <f>IF(F46=0,"  ",VLOOKUP(F46,[17]Sheet1!$A$1:$B$8,2,FALSE))</f>
        <v xml:space="preserve">Refer to a document confirming that the PO determined the equipment as integral and necessary for achieving the outcomes of the PDP. </v>
      </c>
    </row>
    <row r="47" spans="1:8" ht="46.5" customHeight="1" outlineLevel="1" thickBot="1" x14ac:dyDescent="0.3">
      <c r="A47" s="12" t="s">
        <v>792</v>
      </c>
      <c r="B47" s="3" t="s">
        <v>430</v>
      </c>
      <c r="C47" s="3">
        <v>1</v>
      </c>
      <c r="D47" s="234">
        <v>500</v>
      </c>
      <c r="E47" s="4">
        <f t="shared" si="3"/>
        <v>500</v>
      </c>
      <c r="F47" s="12" t="s">
        <v>53</v>
      </c>
      <c r="G47" s="93" t="s">
        <v>284</v>
      </c>
      <c r="H47" s="25" t="str">
        <f>IF(F47=0,"  ",VLOOKUP(F47,[17]Sheet1!$A$1:$B$8,2,FALSE))</f>
        <v xml:space="preserve">Refer to a document confirming that the PO determined the equipment as integral and necessary for achieving the outcomes of the PDP. </v>
      </c>
    </row>
    <row r="48" spans="1:8" ht="38.25" customHeight="1" outlineLevel="1" thickBot="1" x14ac:dyDescent="0.3">
      <c r="A48" s="12"/>
      <c r="B48" s="3"/>
      <c r="C48" s="3"/>
      <c r="D48" s="234"/>
      <c r="E48" s="4">
        <f t="shared" si="3"/>
        <v>0</v>
      </c>
      <c r="F48" s="12"/>
      <c r="G48" s="90" t="s">
        <v>284</v>
      </c>
      <c r="H48" s="25" t="str">
        <f>IF(F48=0,"  ",VLOOKUP(F48,[17]Sheet1!$A$1:$B$8,2,FALSE))</f>
        <v xml:space="preserve">  </v>
      </c>
    </row>
    <row r="49" spans="1:8" ht="15.75" outlineLevel="1" thickBot="1" x14ac:dyDescent="0.3">
      <c r="A49" s="12"/>
      <c r="B49" s="92"/>
      <c r="C49" s="3"/>
      <c r="D49" s="4"/>
      <c r="E49" s="4">
        <f t="shared" si="3"/>
        <v>0</v>
      </c>
      <c r="F49" s="12"/>
      <c r="G49" s="90"/>
      <c r="H49" s="25" t="str">
        <f>IF(F49=0,"  ",VLOOKUP(F49,[17]Sheet1!$A$1:$B$8,2,FALSE))</f>
        <v xml:space="preserve">  </v>
      </c>
    </row>
    <row r="50" spans="1:8" ht="15.75" thickBot="1" x14ac:dyDescent="0.3">
      <c r="A50" s="517" t="s">
        <v>5</v>
      </c>
      <c r="B50" s="518"/>
      <c r="C50" s="518"/>
      <c r="D50" s="523"/>
      <c r="E50" s="102">
        <f>SUM(E38:E49)</f>
        <v>198040</v>
      </c>
      <c r="F50" s="12"/>
      <c r="G50" s="93"/>
      <c r="H50" s="25" t="str">
        <f>IF(F50=0," ",VLOOKUP(F50,[17]Sheet1!$A$1:$B$8,2,FALSE))</f>
        <v xml:space="preserve"> </v>
      </c>
    </row>
    <row r="51" spans="1:8" ht="37.5" customHeight="1" thickBot="1" x14ac:dyDescent="0.3">
      <c r="A51" s="646" t="s">
        <v>435</v>
      </c>
      <c r="B51" s="647"/>
      <c r="C51" s="647"/>
      <c r="D51" s="647"/>
      <c r="E51" s="647"/>
      <c r="F51" s="647"/>
      <c r="G51" s="648"/>
      <c r="H51" s="37"/>
    </row>
    <row r="52" spans="1:8" ht="32.25" customHeight="1" outlineLevel="1" thickBot="1" x14ac:dyDescent="0.3">
      <c r="A52" s="520" t="s">
        <v>436</v>
      </c>
      <c r="B52" s="521"/>
      <c r="C52" s="521"/>
      <c r="D52" s="521"/>
      <c r="E52" s="521"/>
      <c r="F52" s="521"/>
      <c r="G52" s="522"/>
      <c r="H52" s="25" t="str">
        <f>IF(F52=0,"  ",VLOOKUP(F52,[17]Sheet1!$A$1:$B$8,2,FALSE))</f>
        <v xml:space="preserve">  </v>
      </c>
    </row>
    <row r="53" spans="1:8" ht="62.45" customHeight="1" outlineLevel="1" thickBot="1" x14ac:dyDescent="0.3">
      <c r="A53" s="233" t="s">
        <v>793</v>
      </c>
      <c r="B53" s="229" t="s">
        <v>438</v>
      </c>
      <c r="C53" s="229">
        <v>1</v>
      </c>
      <c r="D53" s="227">
        <v>5000</v>
      </c>
      <c r="E53" s="227">
        <f t="shared" ref="E53:E66" si="4">C53*D53</f>
        <v>5000</v>
      </c>
      <c r="F53" s="12" t="s">
        <v>56</v>
      </c>
      <c r="G53" s="93"/>
      <c r="H53" s="25"/>
    </row>
    <row r="54" spans="1:8" ht="32.25" customHeight="1" outlineLevel="1" thickBot="1" x14ac:dyDescent="0.3">
      <c r="A54" s="233" t="s">
        <v>794</v>
      </c>
      <c r="B54" s="229" t="s">
        <v>437</v>
      </c>
      <c r="C54" s="229">
        <v>2</v>
      </c>
      <c r="D54" s="227">
        <v>500</v>
      </c>
      <c r="E54" s="227">
        <f t="shared" si="4"/>
        <v>1000</v>
      </c>
      <c r="F54" s="12" t="s">
        <v>51</v>
      </c>
      <c r="G54" s="93"/>
      <c r="H54" s="25"/>
    </row>
    <row r="55" spans="1:8" ht="32.25" customHeight="1" outlineLevel="1" thickBot="1" x14ac:dyDescent="0.3">
      <c r="A55" s="233" t="s">
        <v>795</v>
      </c>
      <c r="B55" s="229" t="s">
        <v>432</v>
      </c>
      <c r="C55" s="229">
        <v>6</v>
      </c>
      <c r="D55" s="227">
        <v>195</v>
      </c>
      <c r="E55" s="227">
        <f t="shared" si="4"/>
        <v>1170</v>
      </c>
      <c r="F55" s="12" t="s">
        <v>51</v>
      </c>
      <c r="G55" s="93"/>
      <c r="H55" s="25"/>
    </row>
    <row r="56" spans="1:8" ht="32.25" customHeight="1" outlineLevel="1" thickBot="1" x14ac:dyDescent="0.3">
      <c r="A56" s="159" t="s">
        <v>787</v>
      </c>
      <c r="B56" s="463" t="s">
        <v>425</v>
      </c>
      <c r="C56" s="229">
        <v>48</v>
      </c>
      <c r="D56" s="227">
        <v>1870</v>
      </c>
      <c r="E56" s="227">
        <f t="shared" si="4"/>
        <v>89760</v>
      </c>
      <c r="F56" s="12" t="s">
        <v>50</v>
      </c>
      <c r="G56" s="93"/>
      <c r="H56" s="25"/>
    </row>
    <row r="57" spans="1:8" ht="57" outlineLevel="1" thickBot="1" x14ac:dyDescent="0.3">
      <c r="A57" s="477" t="s">
        <v>796</v>
      </c>
      <c r="B57" s="470" t="s">
        <v>438</v>
      </c>
      <c r="C57" s="470">
        <v>36</v>
      </c>
      <c r="D57" s="471">
        <v>1000</v>
      </c>
      <c r="E57" s="471">
        <f t="shared" si="4"/>
        <v>36000</v>
      </c>
      <c r="F57" s="478" t="s">
        <v>56</v>
      </c>
      <c r="G57" s="93"/>
      <c r="H57" s="25" t="str">
        <f>IF(F57=0,"  ",VLOOKUP(F57,[17]Sheet1!$A$1:$B$8,2,FALSE))</f>
        <v>Awarding should comply with the applicable rules on public procurement  (Regulations Art. 8.15).</v>
      </c>
    </row>
    <row r="58" spans="1:8" ht="57" outlineLevel="1" thickBot="1" x14ac:dyDescent="0.3">
      <c r="A58" s="477" t="s">
        <v>797</v>
      </c>
      <c r="B58" s="470" t="s">
        <v>438</v>
      </c>
      <c r="C58" s="470">
        <v>36</v>
      </c>
      <c r="D58" s="471">
        <v>1000</v>
      </c>
      <c r="E58" s="471">
        <f>C58*D58</f>
        <v>36000</v>
      </c>
      <c r="F58" s="478" t="s">
        <v>56</v>
      </c>
      <c r="G58" s="93"/>
      <c r="H58" s="25"/>
    </row>
    <row r="59" spans="1:8" ht="34.5" outlineLevel="1" thickBot="1" x14ac:dyDescent="0.3">
      <c r="A59" s="477" t="s">
        <v>798</v>
      </c>
      <c r="B59" s="470" t="s">
        <v>432</v>
      </c>
      <c r="C59" s="470">
        <v>216</v>
      </c>
      <c r="D59" s="471">
        <v>65</v>
      </c>
      <c r="E59" s="471">
        <f t="shared" si="4"/>
        <v>14040</v>
      </c>
      <c r="F59" s="478" t="s">
        <v>51</v>
      </c>
      <c r="G59" s="93" t="s">
        <v>433</v>
      </c>
      <c r="H59" s="25" t="str">
        <f>IF(F59=0,"  ",VLOOKUP(F59,[17]Sheet1!$A$1:$B$8,2,FALSE))</f>
        <v>If lump sums, include a reference to the defined rules approved by the PO.</v>
      </c>
    </row>
    <row r="60" spans="1:8" ht="34.5" outlineLevel="1" thickBot="1" x14ac:dyDescent="0.3">
      <c r="A60" s="233" t="s">
        <v>786</v>
      </c>
      <c r="B60" s="229" t="s">
        <v>427</v>
      </c>
      <c r="C60" s="229">
        <v>1</v>
      </c>
      <c r="D60" s="235">
        <v>7470</v>
      </c>
      <c r="E60" s="227">
        <f t="shared" si="4"/>
        <v>7470</v>
      </c>
      <c r="F60" s="12" t="s">
        <v>51</v>
      </c>
      <c r="G60" s="90" t="s">
        <v>434</v>
      </c>
      <c r="H60" s="25" t="str">
        <f>IF(F60=0,"  ",VLOOKUP(F60,[17]Sheet1!$A$1:$B$8,2,FALSE))</f>
        <v>If lump sums, include a reference to the defined rules approved by the PO.</v>
      </c>
    </row>
    <row r="61" spans="1:8" ht="45.75" outlineLevel="1" thickBot="1" x14ac:dyDescent="0.3">
      <c r="A61" s="230" t="s">
        <v>439</v>
      </c>
      <c r="B61" s="229" t="s">
        <v>425</v>
      </c>
      <c r="C61" s="229">
        <v>48</v>
      </c>
      <c r="D61" s="227">
        <v>290</v>
      </c>
      <c r="E61" s="227">
        <f t="shared" si="4"/>
        <v>13920</v>
      </c>
      <c r="F61" s="12" t="s">
        <v>52</v>
      </c>
      <c r="G61" s="93"/>
      <c r="H61" s="25">
        <f>IF(F61=0,"  ",VLOOKUP(F61,[17]Sheet1!$A$1:$B$8,2,FALSE))</f>
        <v>0</v>
      </c>
    </row>
    <row r="62" spans="1:8" ht="34.5" outlineLevel="1" thickBot="1" x14ac:dyDescent="0.3">
      <c r="A62" s="230" t="s">
        <v>440</v>
      </c>
      <c r="B62" s="229" t="s">
        <v>441</v>
      </c>
      <c r="C62" s="229">
        <v>4</v>
      </c>
      <c r="D62" s="227">
        <v>3000</v>
      </c>
      <c r="E62" s="227">
        <f t="shared" si="4"/>
        <v>12000</v>
      </c>
      <c r="F62" s="12" t="s">
        <v>55</v>
      </c>
      <c r="G62" s="93"/>
      <c r="H62" s="25">
        <f>IF(F62=0,"  ",VLOOKUP(F62,[17]Sheet1!$A$1:$B$8,2,FALSE))</f>
        <v>0</v>
      </c>
    </row>
    <row r="63" spans="1:8" ht="15.75" outlineLevel="1" thickBot="1" x14ac:dyDescent="0.3">
      <c r="A63" s="12"/>
      <c r="B63" s="3"/>
      <c r="C63" s="3"/>
      <c r="D63" s="234"/>
      <c r="E63" s="4">
        <f t="shared" si="4"/>
        <v>0</v>
      </c>
      <c r="F63" s="12"/>
      <c r="G63" s="93"/>
      <c r="H63" s="25" t="str">
        <f>IF(F63=0,"  ",VLOOKUP(F63,[17]Sheet1!$A$1:$B$8,2,FALSE))</f>
        <v xml:space="preserve">  </v>
      </c>
    </row>
    <row r="64" spans="1:8" ht="15.75" outlineLevel="1" thickBot="1" x14ac:dyDescent="0.3">
      <c r="A64" s="12"/>
      <c r="B64" s="92"/>
      <c r="C64" s="3"/>
      <c r="D64" s="4"/>
      <c r="E64" s="4">
        <f t="shared" si="4"/>
        <v>0</v>
      </c>
      <c r="F64" s="12"/>
      <c r="G64" s="90"/>
      <c r="H64" s="25" t="str">
        <f>IF(F64=0,"  ",VLOOKUP(F64,[17]Sheet1!$A$1:$B$8,2,FALSE))</f>
        <v xml:space="preserve">  </v>
      </c>
    </row>
    <row r="65" spans="1:8" ht="15.75" outlineLevel="1" thickBot="1" x14ac:dyDescent="0.3">
      <c r="A65" s="1"/>
      <c r="B65" s="3"/>
      <c r="C65" s="3"/>
      <c r="D65" s="4"/>
      <c r="E65" s="4">
        <f t="shared" si="4"/>
        <v>0</v>
      </c>
      <c r="F65" s="12"/>
      <c r="G65" s="93"/>
      <c r="H65" s="25" t="str">
        <f>IF(F65=0,"  ",VLOOKUP(F65,[17]Sheet1!$A$1:$B$8,2,FALSE))</f>
        <v xml:space="preserve">  </v>
      </c>
    </row>
    <row r="66" spans="1:8" ht="15.75" outlineLevel="1" thickBot="1" x14ac:dyDescent="0.3">
      <c r="A66" s="1"/>
      <c r="B66" s="92"/>
      <c r="C66" s="3"/>
      <c r="D66" s="4"/>
      <c r="E66" s="4">
        <f t="shared" si="4"/>
        <v>0</v>
      </c>
      <c r="F66" s="12"/>
      <c r="G66" s="93"/>
      <c r="H66" s="25" t="str">
        <f>IF(F66=0,"  ",VLOOKUP(F66,[17]Sheet1!$A$1:$B$8,2,FALSE))</f>
        <v xml:space="preserve">  </v>
      </c>
    </row>
    <row r="67" spans="1:8" ht="15.75" thickBot="1" x14ac:dyDescent="0.3">
      <c r="A67" s="517" t="s">
        <v>6</v>
      </c>
      <c r="B67" s="518"/>
      <c r="C67" s="518"/>
      <c r="D67" s="523"/>
      <c r="E67" s="102">
        <f>SUM(E52:E66)</f>
        <v>216360</v>
      </c>
      <c r="F67" s="12"/>
      <c r="G67" s="93"/>
      <c r="H67" s="25" t="str">
        <f>IF(F67=0," ",VLOOKUP(F67,[17]Sheet1!$A$1:$B$8,2,FALSE))</f>
        <v xml:space="preserve"> </v>
      </c>
    </row>
    <row r="68" spans="1:8" ht="15.75" customHeight="1" thickBot="1" x14ac:dyDescent="0.3">
      <c r="A68" s="460" t="s">
        <v>170</v>
      </c>
      <c r="B68" s="461"/>
      <c r="C68" s="461"/>
      <c r="D68" s="461"/>
      <c r="E68" s="461"/>
      <c r="F68" s="461"/>
      <c r="G68" s="462"/>
      <c r="H68" s="37"/>
    </row>
    <row r="69" spans="1:8" ht="15.75" outlineLevel="1" thickBot="1" x14ac:dyDescent="0.3">
      <c r="A69" s="1"/>
      <c r="B69" s="2"/>
      <c r="C69" s="3"/>
      <c r="D69" s="4"/>
      <c r="E69" s="4">
        <f t="shared" ref="E69:E78" si="5">C69*D69</f>
        <v>0</v>
      </c>
      <c r="F69" s="12"/>
      <c r="G69" s="93"/>
      <c r="H69" s="25" t="str">
        <f>IF(F69=0,"  ",VLOOKUP(F69,[17]Sheet1!$A$1:$B$8,2,FALSE))</f>
        <v xml:space="preserve">  </v>
      </c>
    </row>
    <row r="70" spans="1:8" ht="15.75" outlineLevel="1" thickBot="1" x14ac:dyDescent="0.3">
      <c r="A70" s="1"/>
      <c r="B70" s="2"/>
      <c r="C70" s="3"/>
      <c r="D70" s="4"/>
      <c r="E70" s="4">
        <f t="shared" si="5"/>
        <v>0</v>
      </c>
      <c r="F70" s="12"/>
      <c r="G70" s="93"/>
      <c r="H70" s="25" t="str">
        <f>IF(F70=0,"  ",VLOOKUP(F70,[17]Sheet1!$A$1:$B$8,2,FALSE))</f>
        <v xml:space="preserve">  </v>
      </c>
    </row>
    <row r="71" spans="1:8" ht="15.75" outlineLevel="1" thickBot="1" x14ac:dyDescent="0.3">
      <c r="A71" s="1"/>
      <c r="B71" s="2"/>
      <c r="C71" s="3"/>
      <c r="D71" s="4"/>
      <c r="E71" s="4">
        <f t="shared" si="5"/>
        <v>0</v>
      </c>
      <c r="F71" s="12"/>
      <c r="G71" s="93"/>
      <c r="H71" s="25" t="str">
        <f>IF(F71=0,"  ",VLOOKUP(F71,[17]Sheet1!$A$1:$B$8,2,FALSE))</f>
        <v xml:space="preserve">  </v>
      </c>
    </row>
    <row r="72" spans="1:8" ht="15.75" outlineLevel="1" thickBot="1" x14ac:dyDescent="0.3">
      <c r="A72" s="1"/>
      <c r="B72" s="2"/>
      <c r="C72" s="3"/>
      <c r="D72" s="4"/>
      <c r="E72" s="4">
        <f t="shared" si="5"/>
        <v>0</v>
      </c>
      <c r="F72" s="12"/>
      <c r="G72" s="93"/>
      <c r="H72" s="25" t="str">
        <f>IF(F72=0,"  ",VLOOKUP(F72,[17]Sheet1!$A$1:$B$8,2,FALSE))</f>
        <v xml:space="preserve">  </v>
      </c>
    </row>
    <row r="73" spans="1:8" ht="15.75" outlineLevel="1" thickBot="1" x14ac:dyDescent="0.3">
      <c r="A73" s="1"/>
      <c r="B73" s="2"/>
      <c r="C73" s="3"/>
      <c r="D73" s="4"/>
      <c r="E73" s="4">
        <f t="shared" si="5"/>
        <v>0</v>
      </c>
      <c r="F73" s="12"/>
      <c r="G73" s="93"/>
      <c r="H73" s="25" t="str">
        <f>IF(F73=0,"  ",VLOOKUP(F73,[17]Sheet1!$A$1:$B$8,2,FALSE))</f>
        <v xml:space="preserve">  </v>
      </c>
    </row>
    <row r="74" spans="1:8" ht="15.75" outlineLevel="1" thickBot="1" x14ac:dyDescent="0.3">
      <c r="A74" s="1"/>
      <c r="B74" s="2"/>
      <c r="C74" s="3"/>
      <c r="D74" s="4"/>
      <c r="E74" s="4">
        <f t="shared" si="5"/>
        <v>0</v>
      </c>
      <c r="F74" s="12"/>
      <c r="G74" s="93"/>
      <c r="H74" s="25" t="str">
        <f>IF(F74=0,"  ",VLOOKUP(F74,[17]Sheet1!$A$1:$B$8,2,FALSE))</f>
        <v xml:space="preserve">  </v>
      </c>
    </row>
    <row r="75" spans="1:8" ht="15.75" outlineLevel="1" thickBot="1" x14ac:dyDescent="0.3">
      <c r="A75" s="1"/>
      <c r="B75" s="2"/>
      <c r="C75" s="3"/>
      <c r="D75" s="4"/>
      <c r="E75" s="4">
        <f t="shared" si="5"/>
        <v>0</v>
      </c>
      <c r="F75" s="12"/>
      <c r="G75" s="93"/>
      <c r="H75" s="25" t="str">
        <f>IF(F75=0,"  ",VLOOKUP(F75,[17]Sheet1!$A$1:$B$8,2,FALSE))</f>
        <v xml:space="preserve">  </v>
      </c>
    </row>
    <row r="76" spans="1:8" ht="15.75" outlineLevel="1" thickBot="1" x14ac:dyDescent="0.3">
      <c r="A76" s="1"/>
      <c r="B76" s="2"/>
      <c r="C76" s="3"/>
      <c r="D76" s="4"/>
      <c r="E76" s="4">
        <f t="shared" si="5"/>
        <v>0</v>
      </c>
      <c r="F76" s="12"/>
      <c r="G76" s="93"/>
      <c r="H76" s="25" t="str">
        <f>IF(F76=0,"  ",VLOOKUP(F76,[17]Sheet1!$A$1:$B$8,2,FALSE))</f>
        <v xml:space="preserve">  </v>
      </c>
    </row>
    <row r="77" spans="1:8" ht="15.75" outlineLevel="1" thickBot="1" x14ac:dyDescent="0.3">
      <c r="A77" s="1"/>
      <c r="B77" s="2"/>
      <c r="C77" s="3"/>
      <c r="D77" s="4"/>
      <c r="E77" s="4">
        <f t="shared" si="5"/>
        <v>0</v>
      </c>
      <c r="F77" s="12"/>
      <c r="G77" s="93"/>
      <c r="H77" s="25" t="str">
        <f>IF(F77=0,"  ",VLOOKUP(F77,[17]Sheet1!$A$1:$B$8,2,FALSE))</f>
        <v xml:space="preserve">  </v>
      </c>
    </row>
    <row r="78" spans="1:8" ht="15.75" outlineLevel="1" thickBot="1" x14ac:dyDescent="0.3">
      <c r="A78" s="1"/>
      <c r="B78" s="92"/>
      <c r="C78" s="3"/>
      <c r="D78" s="4"/>
      <c r="E78" s="4">
        <f t="shared" si="5"/>
        <v>0</v>
      </c>
      <c r="F78" s="12"/>
      <c r="G78" s="93"/>
      <c r="H78" s="25" t="str">
        <f>IF(F78=0,"  ",VLOOKUP(F78,[17]Sheet1!$A$1:$B$8,2,FALSE))</f>
        <v xml:space="preserve">  </v>
      </c>
    </row>
    <row r="79" spans="1:8" ht="15.75" thickBot="1" x14ac:dyDescent="0.3">
      <c r="A79" s="517" t="s">
        <v>123</v>
      </c>
      <c r="B79" s="518"/>
      <c r="C79" s="518"/>
      <c r="D79" s="519"/>
      <c r="E79" s="102">
        <f>SUM(E69:E78)</f>
        <v>0</v>
      </c>
      <c r="F79" s="12"/>
      <c r="G79" s="93"/>
      <c r="H79" s="25" t="str">
        <f>IF(F79=0," ",VLOOKUP(F79,[17]Sheet1!$A$1:$B$8,2,FALSE))</f>
        <v xml:space="preserve"> </v>
      </c>
    </row>
    <row r="80" spans="1:8" ht="15.75" thickBot="1" x14ac:dyDescent="0.3">
      <c r="A80" s="526" t="s">
        <v>11</v>
      </c>
      <c r="B80" s="527"/>
      <c r="C80" s="527"/>
      <c r="D80" s="528"/>
      <c r="E80" s="105">
        <f>E22+E36+E67+E79+E50</f>
        <v>635514</v>
      </c>
      <c r="F80" s="93"/>
      <c r="G80" s="93"/>
      <c r="H80" s="38"/>
    </row>
    <row r="81" spans="1:8" ht="15.75" thickBot="1" x14ac:dyDescent="0.3">
      <c r="A81" s="532" t="s">
        <v>442</v>
      </c>
      <c r="B81" s="533"/>
      <c r="C81" s="533"/>
      <c r="D81" s="533"/>
      <c r="E81" s="533"/>
      <c r="F81" s="533"/>
      <c r="G81" s="534"/>
      <c r="H81" s="39"/>
    </row>
    <row r="82" spans="1:8" ht="34.5" thickBot="1" x14ac:dyDescent="0.3">
      <c r="A82" s="526" t="s">
        <v>13</v>
      </c>
      <c r="B82" s="527"/>
      <c r="C82" s="527"/>
      <c r="D82" s="528"/>
      <c r="E82" s="6">
        <f>ROUND(E80*0.07,0)</f>
        <v>44486</v>
      </c>
      <c r="F82" s="93"/>
      <c r="G82" s="93"/>
      <c r="H82" s="40" t="s">
        <v>443</v>
      </c>
    </row>
    <row r="83" spans="1:8" ht="15.75" thickBot="1" x14ac:dyDescent="0.3">
      <c r="A83" s="529" t="s">
        <v>22</v>
      </c>
      <c r="B83" s="530"/>
      <c r="C83" s="530"/>
      <c r="D83" s="531"/>
      <c r="E83" s="106">
        <f>E80+E82</f>
        <v>680000</v>
      </c>
      <c r="F83" s="93"/>
      <c r="G83" s="93"/>
      <c r="H83" s="41"/>
    </row>
    <row r="84" spans="1:8" s="226" customFormat="1" ht="15.75" thickBot="1" x14ac:dyDescent="0.3">
      <c r="H84" s="128"/>
    </row>
    <row r="85" spans="1:8" ht="18" customHeight="1" thickBot="1" x14ac:dyDescent="0.3">
      <c r="A85" s="486" t="s">
        <v>444</v>
      </c>
      <c r="B85" s="486"/>
      <c r="C85" s="486"/>
      <c r="D85" s="486"/>
      <c r="E85" s="9">
        <f>E22</f>
        <v>184714</v>
      </c>
      <c r="F85" s="226"/>
      <c r="G85" s="226"/>
      <c r="H85" s="128"/>
    </row>
    <row r="86" spans="1:8" ht="15.75" thickBot="1" x14ac:dyDescent="0.3">
      <c r="A86" s="486" t="s">
        <v>20</v>
      </c>
      <c r="B86" s="486"/>
      <c r="C86" s="486"/>
      <c r="D86" s="486"/>
      <c r="E86" s="6">
        <f>E36+E50+E67+E79</f>
        <v>450800</v>
      </c>
      <c r="F86" s="226"/>
      <c r="G86" s="226"/>
      <c r="H86" s="128"/>
    </row>
    <row r="87" spans="1:8" s="226" customFormat="1" x14ac:dyDescent="0.25">
      <c r="H87" s="128"/>
    </row>
    <row r="88" spans="1:8" s="226" customFormat="1" ht="15.75" thickBot="1" x14ac:dyDescent="0.3">
      <c r="H88" s="128"/>
    </row>
    <row r="89" spans="1:8" s="226" customFormat="1" ht="38.25" customHeight="1" thickBot="1" x14ac:dyDescent="0.3">
      <c r="A89" s="21" t="s">
        <v>35</v>
      </c>
      <c r="B89" s="19" t="s">
        <v>27</v>
      </c>
      <c r="C89" s="19" t="s">
        <v>28</v>
      </c>
      <c r="D89" s="19" t="s">
        <v>29</v>
      </c>
      <c r="E89" s="19" t="s">
        <v>30</v>
      </c>
      <c r="F89" s="19" t="s">
        <v>31</v>
      </c>
      <c r="G89" s="19" t="s">
        <v>25</v>
      </c>
      <c r="H89" s="42" t="s">
        <v>26</v>
      </c>
    </row>
    <row r="90" spans="1:8" s="226" customFormat="1" ht="15.75" thickBot="1" x14ac:dyDescent="0.3">
      <c r="A90" s="460" t="s">
        <v>50</v>
      </c>
      <c r="B90" s="236">
        <f t="shared" ref="B90:B97" si="6">IF($F$13=A90,$E$13,0)+IF($F$14=A90,$E$14,0)+IF($F$15=A90,$E$15,0)+IF($F$17=A90,$E$17,0)+IF($F$18=A90,$E$18,0)+IF($F$19=A90,$E$19,0)+IF($F$20=A90,$E$20,0)+IF($F$21=A90,$E$21,0)+IF($F$16=A90,$E$16,0)</f>
        <v>117696</v>
      </c>
      <c r="C90" s="237">
        <f t="shared" ref="C90:C95" si="7">IF($F$25=A90,$E$25,0)+IF($F$26=A90,$E$26,0)+IF($F$27=A90,$E$27,0)+IF($F$28=A90,$E$28,0)+IF($F$29=A90,$E$29,0)+IF($F$30=A90,$E$30,0)+IF($F$31=A90,$E$31,0)+IF($F$32=A90,$E$32,0)+IF($F$33=A90,$E$33,0)+IF($F$34=A90,$E$34,0)+IF($F$35=A90,$E$35,0)</f>
        <v>0</v>
      </c>
      <c r="D90" s="237">
        <f>IF($F$38=A90,$E$38,0)+IF($F$39=A90,$E$39,0)+IF($F$40=A90,$E$40,0)+IF($F$41=A90,$E$41,0)+IF($F$42=A90,$E$42,0)+IF($F$43=A90,$E$43,0)+IF($F$44=A90,$E$44,0)+IF($F$45=A90,$E$45,0)+IF($F$46=A90,$E$46,0)+IF($F$47=A90,$E$47,0)+IF($F$48=A90,$E$48,0)+IF($F$49=A90,$E$49,0)</f>
        <v>89760</v>
      </c>
      <c r="E90" s="237">
        <f>IF($F$52=A90,$E$52,0)+IF($F$53=A90,$E$53,0)+IF($F$54=A90,$E$54,0)+IF($F$55=A90,$E$55,0)+IF($F$56=A90,$E$56,0)+IF($F$57=A90,$E$57,0)+IF($F$58=A90,$E$58,0)+IF($F$59=A90,$E$59,0)+IF($F$60=A90,$E$60,0)+IF($F$61=A90,$E$61,0)+IF($F$62=A90,$E$62,0)+IF($F$63=A90,$E$63,0)+IF($F$64=A90,$E$64,0)+IF($F$65=A90,$E$65,0)+IF($F$66=A90,$E$66,0)</f>
        <v>89760</v>
      </c>
      <c r="F90" s="237">
        <f>IF($F$69=A90,$E$69,0)+IF($F$70=A90,$E$70,0)+IF($F$71=A90,$E$71,0)+IF($F$72=A90,$E$72,0)+IF($F$73=A90,$E$73,0)+IF($F$74=A90,$E$74,0)+IF($F$75=A90,$E$75,0)+IF($F$76=A90,$E$76,0)+IF($F$77=A90,$E$77,0)+IF($F$78=A90,$E$78,0)</f>
        <v>0</v>
      </c>
      <c r="G90" s="194">
        <f>SUM(B90:F90)</f>
        <v>297216</v>
      </c>
      <c r="H90" s="238">
        <f>G90/$G$99</f>
        <v>0.43708235294117648</v>
      </c>
    </row>
    <row r="91" spans="1:8" s="226" customFormat="1" ht="15.75" thickBot="1" x14ac:dyDescent="0.3">
      <c r="A91" s="460" t="s">
        <v>51</v>
      </c>
      <c r="B91" s="236">
        <f t="shared" si="6"/>
        <v>0</v>
      </c>
      <c r="C91" s="237">
        <f t="shared" si="7"/>
        <v>0</v>
      </c>
      <c r="D91" s="237">
        <f t="shared" ref="D91:D97" si="8">IF($F$38=A91,$E$38,0)+IF($F$39=A91,$E$39,0)+IF($F$40=A91,$E$40,0)+IF($F$41=A91,$E$41,0)+IF($F$42=A91,$E$42,0)+IF($F$43=A91,$E$43,0)+IF($F$44=A91,$E$44,0)+IF($F$45=A91,$E$45,0)+IF($F$46=A91,$E$46,0)+IF($F$47=A91,$E$47,0)+IF($F$48=A91,$E$48,0)+IF($F$49=A91,$E$49,0)</f>
        <v>13530</v>
      </c>
      <c r="E91" s="237">
        <f t="shared" ref="E91:E97" si="9">IF($F$52=A91,$E$52,0)+IF($F$53=A91,$E$53,0)+IF($F$54=A91,$E$54,0)+IF($F$55=A91,$E$55,0)+IF($F$56=A91,$E$56,0)+IF($F$57=A91,$E$57,0)+IF($F$58=A91,$E$58,0)+IF($F$59=A91,$E$59,0)+IF($F$60=A91,$E$60,0)+IF($F$61=A91,$E$61,0)+IF($F$62=A91,$E$62,0)+IF($F$63=A91,$E$63,0)+IF($F$64=A91,$E$64,0)+IF($F$65=A91,$E$65,0)+IF($F$66=A91,$E$66,0)</f>
        <v>23680</v>
      </c>
      <c r="F91" s="237">
        <f t="shared" ref="F91:F97" si="10">IF($F$69=A91,$E$69,0)+IF($F$70=A91,$E$70,0)+IF($F$71=A91,$E$71,0)+IF($F$72=A91,$E$72,0)+IF($F$73=A91,$E$73,0)+IF($F$74=A91,$E$74,0)+IF($F$75=A91,$E$75,0)+IF($F$76=A91,$E$76,0)+IF($F$77=A91,$E$77,0)+IF($F$78=A91,$E$78,0)</f>
        <v>0</v>
      </c>
      <c r="G91" s="194">
        <f t="shared" ref="G91:G97" si="11">SUM(B91:F91)</f>
        <v>37210</v>
      </c>
      <c r="H91" s="238">
        <f t="shared" ref="H91:H98" si="12">G91/$G$99</f>
        <v>5.4720588235294118E-2</v>
      </c>
    </row>
    <row r="92" spans="1:8" s="226" customFormat="1" ht="23.25" thickBot="1" x14ac:dyDescent="0.3">
      <c r="A92" s="460" t="s">
        <v>52</v>
      </c>
      <c r="B92" s="236">
        <f t="shared" si="6"/>
        <v>0</v>
      </c>
      <c r="C92" s="237">
        <f t="shared" si="7"/>
        <v>0</v>
      </c>
      <c r="D92" s="237">
        <f t="shared" si="8"/>
        <v>0</v>
      </c>
      <c r="E92" s="237">
        <f t="shared" si="9"/>
        <v>13920</v>
      </c>
      <c r="F92" s="237">
        <f t="shared" si="10"/>
        <v>0</v>
      </c>
      <c r="G92" s="194">
        <f t="shared" si="11"/>
        <v>13920</v>
      </c>
      <c r="H92" s="238">
        <f t="shared" si="12"/>
        <v>2.0470588235294119E-2</v>
      </c>
    </row>
    <row r="93" spans="1:8" s="226" customFormat="1" ht="15.75" thickBot="1" x14ac:dyDescent="0.3">
      <c r="A93" s="460" t="s">
        <v>53</v>
      </c>
      <c r="B93" s="236">
        <f t="shared" si="6"/>
        <v>0</v>
      </c>
      <c r="C93" s="237">
        <f t="shared" si="7"/>
        <v>0</v>
      </c>
      <c r="D93" s="237">
        <f t="shared" si="8"/>
        <v>7000</v>
      </c>
      <c r="E93" s="237">
        <f t="shared" si="9"/>
        <v>0</v>
      </c>
      <c r="F93" s="237">
        <f t="shared" si="10"/>
        <v>0</v>
      </c>
      <c r="G93" s="194">
        <f t="shared" si="11"/>
        <v>7000</v>
      </c>
      <c r="H93" s="238">
        <f t="shared" si="12"/>
        <v>1.0294117647058823E-2</v>
      </c>
    </row>
    <row r="94" spans="1:8" s="226" customFormat="1" ht="15.75" thickBot="1" x14ac:dyDescent="0.3">
      <c r="A94" s="460" t="s">
        <v>54</v>
      </c>
      <c r="B94" s="236">
        <f t="shared" si="6"/>
        <v>0</v>
      </c>
      <c r="C94" s="237">
        <f t="shared" si="7"/>
        <v>0</v>
      </c>
      <c r="D94" s="237">
        <f t="shared" si="8"/>
        <v>0</v>
      </c>
      <c r="E94" s="237">
        <f t="shared" si="9"/>
        <v>0</v>
      </c>
      <c r="F94" s="237">
        <f t="shared" si="10"/>
        <v>0</v>
      </c>
      <c r="G94" s="194">
        <f t="shared" si="11"/>
        <v>0</v>
      </c>
      <c r="H94" s="238">
        <f t="shared" si="12"/>
        <v>0</v>
      </c>
    </row>
    <row r="95" spans="1:8" s="226" customFormat="1" ht="15.75" thickBot="1" x14ac:dyDescent="0.3">
      <c r="A95" s="460" t="s">
        <v>55</v>
      </c>
      <c r="B95" s="236">
        <f t="shared" si="6"/>
        <v>62400</v>
      </c>
      <c r="C95" s="237">
        <f t="shared" si="7"/>
        <v>0</v>
      </c>
      <c r="D95" s="237">
        <f t="shared" si="8"/>
        <v>0</v>
      </c>
      <c r="E95" s="237">
        <f t="shared" si="9"/>
        <v>12000</v>
      </c>
      <c r="F95" s="237">
        <f t="shared" si="10"/>
        <v>0</v>
      </c>
      <c r="G95" s="194">
        <f t="shared" si="11"/>
        <v>74400</v>
      </c>
      <c r="H95" s="238">
        <f t="shared" si="12"/>
        <v>0.10941176470588235</v>
      </c>
    </row>
    <row r="96" spans="1:8" s="226" customFormat="1" ht="23.25" thickBot="1" x14ac:dyDescent="0.3">
      <c r="A96" s="460" t="s">
        <v>56</v>
      </c>
      <c r="B96" s="236">
        <f t="shared" si="6"/>
        <v>0</v>
      </c>
      <c r="C96" s="237">
        <f>IF($F$25=A96,$E$25,0)+IF($F$26=A96,$E$26,0)+IF($F$27=A96,$E$27,0)+IF($F$28=A96,$E$28,0)+IF($F$29=A96,$E$29,0)+IF($F$30=A96,$E$30,0)+IF($F$31=A96,$E$31,0)+IF($F$32=A96,$E$32,0)+IF($F$33=A96,$E$33,0)+IF($F$34=A96,$E$34,0)+IF($F$35=A96,$E$35,0)</f>
        <v>36400</v>
      </c>
      <c r="D96" s="237">
        <f t="shared" si="8"/>
        <v>87750</v>
      </c>
      <c r="E96" s="237">
        <f t="shared" si="9"/>
        <v>77000</v>
      </c>
      <c r="F96" s="237">
        <f t="shared" si="10"/>
        <v>0</v>
      </c>
      <c r="G96" s="194">
        <f t="shared" si="11"/>
        <v>201150</v>
      </c>
      <c r="H96" s="238">
        <f t="shared" si="12"/>
        <v>0.29580882352941179</v>
      </c>
    </row>
    <row r="97" spans="1:9" s="226" customFormat="1" ht="23.25" thickBot="1" x14ac:dyDescent="0.3">
      <c r="A97" s="460" t="s">
        <v>57</v>
      </c>
      <c r="B97" s="236">
        <f t="shared" si="6"/>
        <v>4618</v>
      </c>
      <c r="C97" s="237">
        <f>IF($F$25=A97,$E$25,0)+IF($F$26=A97,$E$26,0)+IF($F$27=A97,$E$27,0)+IF($F$28=A97,$E$28,0)+IF($F$29=A97,$E$29,0)+IF($F$30=A97,$E$30,0)+IF($F$31=A97,$E$31,0)+IF($F$32=A97,$E$32,0)+IF($F$33=A97,$E$33,0)+IF($F$34=A97,$E$34,0)+IF($F$35=A97,$E$35,0)</f>
        <v>0</v>
      </c>
      <c r="D97" s="237">
        <f t="shared" si="8"/>
        <v>0</v>
      </c>
      <c r="E97" s="237">
        <f t="shared" si="9"/>
        <v>0</v>
      </c>
      <c r="F97" s="237">
        <f t="shared" si="10"/>
        <v>0</v>
      </c>
      <c r="G97" s="194">
        <f t="shared" si="11"/>
        <v>4618</v>
      </c>
      <c r="H97" s="238">
        <f t="shared" si="12"/>
        <v>6.7911764705882354E-3</v>
      </c>
    </row>
    <row r="98" spans="1:9" s="226" customFormat="1" ht="15.75" thickBot="1" x14ac:dyDescent="0.3">
      <c r="A98" s="460" t="s">
        <v>32</v>
      </c>
      <c r="B98" s="644"/>
      <c r="C98" s="644"/>
      <c r="D98" s="644"/>
      <c r="E98" s="644"/>
      <c r="F98" s="645"/>
      <c r="G98" s="194">
        <f>E82</f>
        <v>44486</v>
      </c>
      <c r="H98" s="238">
        <f t="shared" si="12"/>
        <v>6.5420588235294119E-2</v>
      </c>
    </row>
    <row r="99" spans="1:9" s="226" customFormat="1" ht="15.75" thickBot="1" x14ac:dyDescent="0.3">
      <c r="A99" s="19" t="s">
        <v>33</v>
      </c>
      <c r="B99" s="1">
        <f>SUM(B90:B97)</f>
        <v>184714</v>
      </c>
      <c r="C99" s="1">
        <f t="shared" ref="C99:F99" si="13">SUM(C90:C97)</f>
        <v>36400</v>
      </c>
      <c r="D99" s="1">
        <f>SUM(D90:D97)</f>
        <v>198040</v>
      </c>
      <c r="E99" s="1">
        <f t="shared" si="13"/>
        <v>216360</v>
      </c>
      <c r="F99" s="1">
        <f t="shared" si="13"/>
        <v>0</v>
      </c>
      <c r="G99" s="194">
        <f>SUM(G90:G98)</f>
        <v>680000</v>
      </c>
      <c r="H99" s="43"/>
    </row>
    <row r="100" spans="1:9" s="226" customFormat="1" ht="15.75" thickBot="1" x14ac:dyDescent="0.3">
      <c r="A100" s="19" t="s">
        <v>34</v>
      </c>
      <c r="B100" s="239">
        <f>B99/$G$99</f>
        <v>0.27163823529411762</v>
      </c>
      <c r="C100" s="239">
        <f t="shared" ref="C100:F100" si="14">C99/$G$99</f>
        <v>5.3529411764705881E-2</v>
      </c>
      <c r="D100" s="239">
        <f t="shared" si="14"/>
        <v>0.29123529411764704</v>
      </c>
      <c r="E100" s="239">
        <f t="shared" si="14"/>
        <v>0.31817647058823528</v>
      </c>
      <c r="F100" s="239">
        <f t="shared" si="14"/>
        <v>0</v>
      </c>
      <c r="G100" s="240">
        <v>1</v>
      </c>
      <c r="H100" s="43"/>
    </row>
    <row r="101" spans="1:9" s="226" customFormat="1" x14ac:dyDescent="0.25">
      <c r="A101" s="441"/>
      <c r="B101" s="441"/>
      <c r="C101" s="441"/>
      <c r="D101" s="441"/>
      <c r="E101" s="441"/>
      <c r="F101" s="441"/>
      <c r="G101" s="441"/>
      <c r="H101" s="314"/>
      <c r="I101" s="441"/>
    </row>
    <row r="102" spans="1:9" s="226" customFormat="1" x14ac:dyDescent="0.25">
      <c r="H102" s="128"/>
    </row>
    <row r="103" spans="1:9" s="226" customFormat="1" x14ac:dyDescent="0.25">
      <c r="A103" s="479" t="s">
        <v>538</v>
      </c>
      <c r="B103" s="480">
        <f>G90+G91+G94+G95+G96+G97</f>
        <v>614594</v>
      </c>
      <c r="H103" s="128"/>
    </row>
    <row r="104" spans="1:9" s="226" customFormat="1" x14ac:dyDescent="0.25">
      <c r="A104" s="479" t="s">
        <v>539</v>
      </c>
      <c r="B104" s="480">
        <f>ROUND(B103*6.54%,2)</f>
        <v>40194.449999999997</v>
      </c>
      <c r="H104" s="128"/>
    </row>
    <row r="105" spans="1:9" s="226" customFormat="1" x14ac:dyDescent="0.25">
      <c r="A105" s="481" t="s">
        <v>34</v>
      </c>
      <c r="B105" s="482">
        <f>(B103+B104)/E83</f>
        <v>0.96292419117647055</v>
      </c>
      <c r="H105" s="128"/>
    </row>
    <row r="106" spans="1:9" s="226" customFormat="1" x14ac:dyDescent="0.25">
      <c r="H106" s="128"/>
    </row>
    <row r="107" spans="1:9" s="226" customFormat="1" x14ac:dyDescent="0.25">
      <c r="H107" s="128"/>
    </row>
    <row r="108" spans="1:9" s="226" customFormat="1" x14ac:dyDescent="0.25">
      <c r="H108" s="128"/>
    </row>
    <row r="109" spans="1:9" s="226" customFormat="1" x14ac:dyDescent="0.25">
      <c r="H109" s="128"/>
    </row>
    <row r="110" spans="1:9" s="226" customFormat="1" x14ac:dyDescent="0.25">
      <c r="H110" s="128"/>
    </row>
    <row r="111" spans="1:9" s="226" customFormat="1" x14ac:dyDescent="0.25">
      <c r="H111" s="128"/>
    </row>
    <row r="112" spans="1:9" s="226" customFormat="1" x14ac:dyDescent="0.25">
      <c r="H112" s="128"/>
    </row>
    <row r="113" spans="8:8" s="226" customFormat="1" x14ac:dyDescent="0.25">
      <c r="H113" s="128"/>
    </row>
    <row r="114" spans="8:8" s="226" customFormat="1" x14ac:dyDescent="0.25">
      <c r="H114" s="128"/>
    </row>
    <row r="115" spans="8:8" x14ac:dyDescent="0.25"/>
    <row r="116" spans="8:8" x14ac:dyDescent="0.25"/>
    <row r="117" spans="8:8" x14ac:dyDescent="0.25"/>
    <row r="118" spans="8:8" x14ac:dyDescent="0.25"/>
  </sheetData>
  <mergeCells count="25">
    <mergeCell ref="B8:G8"/>
    <mergeCell ref="B3:G3"/>
    <mergeCell ref="B4:G4"/>
    <mergeCell ref="B5:G5"/>
    <mergeCell ref="B6:G6"/>
    <mergeCell ref="B7:G7"/>
    <mergeCell ref="A79:D79"/>
    <mergeCell ref="A11:G11"/>
    <mergeCell ref="A12:G12"/>
    <mergeCell ref="A22:D22"/>
    <mergeCell ref="A23:G23"/>
    <mergeCell ref="A24:G24"/>
    <mergeCell ref="A36:D36"/>
    <mergeCell ref="A37:G37"/>
    <mergeCell ref="A50:D50"/>
    <mergeCell ref="A51:G51"/>
    <mergeCell ref="A52:G52"/>
    <mergeCell ref="A67:D67"/>
    <mergeCell ref="B98:F98"/>
    <mergeCell ref="A80:D80"/>
    <mergeCell ref="A81:G81"/>
    <mergeCell ref="A82:D82"/>
    <mergeCell ref="A83:D83"/>
    <mergeCell ref="A85:D85"/>
    <mergeCell ref="A86:D86"/>
  </mergeCells>
  <pageMargins left="0.70866141732283472" right="0.70866141732283472" top="0.74803149606299213" bottom="0.74803149606299213" header="0.31496062992125984" footer="0.31496062992125984"/>
  <pageSetup paperSize="9" scale="6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[17]Sheet1!#REF!</xm:f>
          </x14:formula1>
          <xm:sqref>F69:F79 F25:F36 F38:F50 F53:F67 F13:F22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workbookViewId="0">
      <selection activeCell="G20" sqref="G20"/>
    </sheetView>
  </sheetViews>
  <sheetFormatPr defaultRowHeight="15" x14ac:dyDescent="0.25"/>
  <cols>
    <col min="1" max="1" width="41" customWidth="1"/>
    <col min="2" max="5" width="10.5703125" customWidth="1"/>
    <col min="6" max="6" width="17.85546875" customWidth="1"/>
    <col min="7" max="7" width="17.140625" customWidth="1"/>
    <col min="8" max="8" width="29.85546875" customWidth="1"/>
    <col min="9" max="9" width="10.28515625" bestFit="1" customWidth="1"/>
    <col min="10" max="10" width="9.140625" customWidth="1"/>
    <col min="257" max="257" width="41" customWidth="1"/>
    <col min="258" max="261" width="10.5703125" customWidth="1"/>
    <col min="262" max="262" width="17.85546875" customWidth="1"/>
    <col min="263" max="263" width="17.140625" customWidth="1"/>
    <col min="264" max="264" width="29.85546875" customWidth="1"/>
    <col min="265" max="265" width="10.28515625" bestFit="1" customWidth="1"/>
    <col min="266" max="266" width="9.140625" customWidth="1"/>
    <col min="513" max="513" width="41" customWidth="1"/>
    <col min="514" max="517" width="10.5703125" customWidth="1"/>
    <col min="518" max="518" width="17.85546875" customWidth="1"/>
    <col min="519" max="519" width="17.140625" customWidth="1"/>
    <col min="520" max="520" width="29.85546875" customWidth="1"/>
    <col min="521" max="521" width="10.28515625" bestFit="1" customWidth="1"/>
    <col min="522" max="522" width="9.140625" customWidth="1"/>
    <col min="769" max="769" width="41" customWidth="1"/>
    <col min="770" max="773" width="10.5703125" customWidth="1"/>
    <col min="774" max="774" width="17.85546875" customWidth="1"/>
    <col min="775" max="775" width="17.140625" customWidth="1"/>
    <col min="776" max="776" width="29.85546875" customWidth="1"/>
    <col min="777" max="777" width="10.28515625" bestFit="1" customWidth="1"/>
    <col min="778" max="778" width="9.140625" customWidth="1"/>
    <col min="1025" max="1025" width="41" customWidth="1"/>
    <col min="1026" max="1029" width="10.5703125" customWidth="1"/>
    <col min="1030" max="1030" width="17.85546875" customWidth="1"/>
    <col min="1031" max="1031" width="17.140625" customWidth="1"/>
    <col min="1032" max="1032" width="29.85546875" customWidth="1"/>
    <col min="1033" max="1033" width="10.28515625" bestFit="1" customWidth="1"/>
    <col min="1034" max="1034" width="9.140625" customWidth="1"/>
    <col min="1281" max="1281" width="41" customWidth="1"/>
    <col min="1282" max="1285" width="10.5703125" customWidth="1"/>
    <col min="1286" max="1286" width="17.85546875" customWidth="1"/>
    <col min="1287" max="1287" width="17.140625" customWidth="1"/>
    <col min="1288" max="1288" width="29.85546875" customWidth="1"/>
    <col min="1289" max="1289" width="10.28515625" bestFit="1" customWidth="1"/>
    <col min="1290" max="1290" width="9.140625" customWidth="1"/>
    <col min="1537" max="1537" width="41" customWidth="1"/>
    <col min="1538" max="1541" width="10.5703125" customWidth="1"/>
    <col min="1542" max="1542" width="17.85546875" customWidth="1"/>
    <col min="1543" max="1543" width="17.140625" customWidth="1"/>
    <col min="1544" max="1544" width="29.85546875" customWidth="1"/>
    <col min="1545" max="1545" width="10.28515625" bestFit="1" customWidth="1"/>
    <col min="1546" max="1546" width="9.140625" customWidth="1"/>
    <col min="1793" max="1793" width="41" customWidth="1"/>
    <col min="1794" max="1797" width="10.5703125" customWidth="1"/>
    <col min="1798" max="1798" width="17.85546875" customWidth="1"/>
    <col min="1799" max="1799" width="17.140625" customWidth="1"/>
    <col min="1800" max="1800" width="29.85546875" customWidth="1"/>
    <col min="1801" max="1801" width="10.28515625" bestFit="1" customWidth="1"/>
    <col min="1802" max="1802" width="9.140625" customWidth="1"/>
    <col min="2049" max="2049" width="41" customWidth="1"/>
    <col min="2050" max="2053" width="10.5703125" customWidth="1"/>
    <col min="2054" max="2054" width="17.85546875" customWidth="1"/>
    <col min="2055" max="2055" width="17.140625" customWidth="1"/>
    <col min="2056" max="2056" width="29.85546875" customWidth="1"/>
    <col min="2057" max="2057" width="10.28515625" bestFit="1" customWidth="1"/>
    <col min="2058" max="2058" width="9.140625" customWidth="1"/>
    <col min="2305" max="2305" width="41" customWidth="1"/>
    <col min="2306" max="2309" width="10.5703125" customWidth="1"/>
    <col min="2310" max="2310" width="17.85546875" customWidth="1"/>
    <col min="2311" max="2311" width="17.140625" customWidth="1"/>
    <col min="2312" max="2312" width="29.85546875" customWidth="1"/>
    <col min="2313" max="2313" width="10.28515625" bestFit="1" customWidth="1"/>
    <col min="2314" max="2314" width="9.140625" customWidth="1"/>
    <col min="2561" max="2561" width="41" customWidth="1"/>
    <col min="2562" max="2565" width="10.5703125" customWidth="1"/>
    <col min="2566" max="2566" width="17.85546875" customWidth="1"/>
    <col min="2567" max="2567" width="17.140625" customWidth="1"/>
    <col min="2568" max="2568" width="29.85546875" customWidth="1"/>
    <col min="2569" max="2569" width="10.28515625" bestFit="1" customWidth="1"/>
    <col min="2570" max="2570" width="9.140625" customWidth="1"/>
    <col min="2817" max="2817" width="41" customWidth="1"/>
    <col min="2818" max="2821" width="10.5703125" customWidth="1"/>
    <col min="2822" max="2822" width="17.85546875" customWidth="1"/>
    <col min="2823" max="2823" width="17.140625" customWidth="1"/>
    <col min="2824" max="2824" width="29.85546875" customWidth="1"/>
    <col min="2825" max="2825" width="10.28515625" bestFit="1" customWidth="1"/>
    <col min="2826" max="2826" width="9.140625" customWidth="1"/>
    <col min="3073" max="3073" width="41" customWidth="1"/>
    <col min="3074" max="3077" width="10.5703125" customWidth="1"/>
    <col min="3078" max="3078" width="17.85546875" customWidth="1"/>
    <col min="3079" max="3079" width="17.140625" customWidth="1"/>
    <col min="3080" max="3080" width="29.85546875" customWidth="1"/>
    <col min="3081" max="3081" width="10.28515625" bestFit="1" customWidth="1"/>
    <col min="3082" max="3082" width="9.140625" customWidth="1"/>
    <col min="3329" max="3329" width="41" customWidth="1"/>
    <col min="3330" max="3333" width="10.5703125" customWidth="1"/>
    <col min="3334" max="3334" width="17.85546875" customWidth="1"/>
    <col min="3335" max="3335" width="17.140625" customWidth="1"/>
    <col min="3336" max="3336" width="29.85546875" customWidth="1"/>
    <col min="3337" max="3337" width="10.28515625" bestFit="1" customWidth="1"/>
    <col min="3338" max="3338" width="9.140625" customWidth="1"/>
    <col min="3585" max="3585" width="41" customWidth="1"/>
    <col min="3586" max="3589" width="10.5703125" customWidth="1"/>
    <col min="3590" max="3590" width="17.85546875" customWidth="1"/>
    <col min="3591" max="3591" width="17.140625" customWidth="1"/>
    <col min="3592" max="3592" width="29.85546875" customWidth="1"/>
    <col min="3593" max="3593" width="10.28515625" bestFit="1" customWidth="1"/>
    <col min="3594" max="3594" width="9.140625" customWidth="1"/>
    <col min="3841" max="3841" width="41" customWidth="1"/>
    <col min="3842" max="3845" width="10.5703125" customWidth="1"/>
    <col min="3846" max="3846" width="17.85546875" customWidth="1"/>
    <col min="3847" max="3847" width="17.140625" customWidth="1"/>
    <col min="3848" max="3848" width="29.85546875" customWidth="1"/>
    <col min="3849" max="3849" width="10.28515625" bestFit="1" customWidth="1"/>
    <col min="3850" max="3850" width="9.140625" customWidth="1"/>
    <col min="4097" max="4097" width="41" customWidth="1"/>
    <col min="4098" max="4101" width="10.5703125" customWidth="1"/>
    <col min="4102" max="4102" width="17.85546875" customWidth="1"/>
    <col min="4103" max="4103" width="17.140625" customWidth="1"/>
    <col min="4104" max="4104" width="29.85546875" customWidth="1"/>
    <col min="4105" max="4105" width="10.28515625" bestFit="1" customWidth="1"/>
    <col min="4106" max="4106" width="9.140625" customWidth="1"/>
    <col min="4353" max="4353" width="41" customWidth="1"/>
    <col min="4354" max="4357" width="10.5703125" customWidth="1"/>
    <col min="4358" max="4358" width="17.85546875" customWidth="1"/>
    <col min="4359" max="4359" width="17.140625" customWidth="1"/>
    <col min="4360" max="4360" width="29.85546875" customWidth="1"/>
    <col min="4361" max="4361" width="10.28515625" bestFit="1" customWidth="1"/>
    <col min="4362" max="4362" width="9.140625" customWidth="1"/>
    <col min="4609" max="4609" width="41" customWidth="1"/>
    <col min="4610" max="4613" width="10.5703125" customWidth="1"/>
    <col min="4614" max="4614" width="17.85546875" customWidth="1"/>
    <col min="4615" max="4615" width="17.140625" customWidth="1"/>
    <col min="4616" max="4616" width="29.85546875" customWidth="1"/>
    <col min="4617" max="4617" width="10.28515625" bestFit="1" customWidth="1"/>
    <col min="4618" max="4618" width="9.140625" customWidth="1"/>
    <col min="4865" max="4865" width="41" customWidth="1"/>
    <col min="4866" max="4869" width="10.5703125" customWidth="1"/>
    <col min="4870" max="4870" width="17.85546875" customWidth="1"/>
    <col min="4871" max="4871" width="17.140625" customWidth="1"/>
    <col min="4872" max="4872" width="29.85546875" customWidth="1"/>
    <col min="4873" max="4873" width="10.28515625" bestFit="1" customWidth="1"/>
    <col min="4874" max="4874" width="9.140625" customWidth="1"/>
    <col min="5121" max="5121" width="41" customWidth="1"/>
    <col min="5122" max="5125" width="10.5703125" customWidth="1"/>
    <col min="5126" max="5126" width="17.85546875" customWidth="1"/>
    <col min="5127" max="5127" width="17.140625" customWidth="1"/>
    <col min="5128" max="5128" width="29.85546875" customWidth="1"/>
    <col min="5129" max="5129" width="10.28515625" bestFit="1" customWidth="1"/>
    <col min="5130" max="5130" width="9.140625" customWidth="1"/>
    <col min="5377" max="5377" width="41" customWidth="1"/>
    <col min="5378" max="5381" width="10.5703125" customWidth="1"/>
    <col min="5382" max="5382" width="17.85546875" customWidth="1"/>
    <col min="5383" max="5383" width="17.140625" customWidth="1"/>
    <col min="5384" max="5384" width="29.85546875" customWidth="1"/>
    <col min="5385" max="5385" width="10.28515625" bestFit="1" customWidth="1"/>
    <col min="5386" max="5386" width="9.140625" customWidth="1"/>
    <col min="5633" max="5633" width="41" customWidth="1"/>
    <col min="5634" max="5637" width="10.5703125" customWidth="1"/>
    <col min="5638" max="5638" width="17.85546875" customWidth="1"/>
    <col min="5639" max="5639" width="17.140625" customWidth="1"/>
    <col min="5640" max="5640" width="29.85546875" customWidth="1"/>
    <col min="5641" max="5641" width="10.28515625" bestFit="1" customWidth="1"/>
    <col min="5642" max="5642" width="9.140625" customWidth="1"/>
    <col min="5889" max="5889" width="41" customWidth="1"/>
    <col min="5890" max="5893" width="10.5703125" customWidth="1"/>
    <col min="5894" max="5894" width="17.85546875" customWidth="1"/>
    <col min="5895" max="5895" width="17.140625" customWidth="1"/>
    <col min="5896" max="5896" width="29.85546875" customWidth="1"/>
    <col min="5897" max="5897" width="10.28515625" bestFit="1" customWidth="1"/>
    <col min="5898" max="5898" width="9.140625" customWidth="1"/>
    <col min="6145" max="6145" width="41" customWidth="1"/>
    <col min="6146" max="6149" width="10.5703125" customWidth="1"/>
    <col min="6150" max="6150" width="17.85546875" customWidth="1"/>
    <col min="6151" max="6151" width="17.140625" customWidth="1"/>
    <col min="6152" max="6152" width="29.85546875" customWidth="1"/>
    <col min="6153" max="6153" width="10.28515625" bestFit="1" customWidth="1"/>
    <col min="6154" max="6154" width="9.140625" customWidth="1"/>
    <col min="6401" max="6401" width="41" customWidth="1"/>
    <col min="6402" max="6405" width="10.5703125" customWidth="1"/>
    <col min="6406" max="6406" width="17.85546875" customWidth="1"/>
    <col min="6407" max="6407" width="17.140625" customWidth="1"/>
    <col min="6408" max="6408" width="29.85546875" customWidth="1"/>
    <col min="6409" max="6409" width="10.28515625" bestFit="1" customWidth="1"/>
    <col min="6410" max="6410" width="9.140625" customWidth="1"/>
    <col min="6657" max="6657" width="41" customWidth="1"/>
    <col min="6658" max="6661" width="10.5703125" customWidth="1"/>
    <col min="6662" max="6662" width="17.85546875" customWidth="1"/>
    <col min="6663" max="6663" width="17.140625" customWidth="1"/>
    <col min="6664" max="6664" width="29.85546875" customWidth="1"/>
    <col min="6665" max="6665" width="10.28515625" bestFit="1" customWidth="1"/>
    <col min="6666" max="6666" width="9.140625" customWidth="1"/>
    <col min="6913" max="6913" width="41" customWidth="1"/>
    <col min="6914" max="6917" width="10.5703125" customWidth="1"/>
    <col min="6918" max="6918" width="17.85546875" customWidth="1"/>
    <col min="6919" max="6919" width="17.140625" customWidth="1"/>
    <col min="6920" max="6920" width="29.85546875" customWidth="1"/>
    <col min="6921" max="6921" width="10.28515625" bestFit="1" customWidth="1"/>
    <col min="6922" max="6922" width="9.140625" customWidth="1"/>
    <col min="7169" max="7169" width="41" customWidth="1"/>
    <col min="7170" max="7173" width="10.5703125" customWidth="1"/>
    <col min="7174" max="7174" width="17.85546875" customWidth="1"/>
    <col min="7175" max="7175" width="17.140625" customWidth="1"/>
    <col min="7176" max="7176" width="29.85546875" customWidth="1"/>
    <col min="7177" max="7177" width="10.28515625" bestFit="1" customWidth="1"/>
    <col min="7178" max="7178" width="9.140625" customWidth="1"/>
    <col min="7425" max="7425" width="41" customWidth="1"/>
    <col min="7426" max="7429" width="10.5703125" customWidth="1"/>
    <col min="7430" max="7430" width="17.85546875" customWidth="1"/>
    <col min="7431" max="7431" width="17.140625" customWidth="1"/>
    <col min="7432" max="7432" width="29.85546875" customWidth="1"/>
    <col min="7433" max="7433" width="10.28515625" bestFit="1" customWidth="1"/>
    <col min="7434" max="7434" width="9.140625" customWidth="1"/>
    <col min="7681" max="7681" width="41" customWidth="1"/>
    <col min="7682" max="7685" width="10.5703125" customWidth="1"/>
    <col min="7686" max="7686" width="17.85546875" customWidth="1"/>
    <col min="7687" max="7687" width="17.140625" customWidth="1"/>
    <col min="7688" max="7688" width="29.85546875" customWidth="1"/>
    <col min="7689" max="7689" width="10.28515625" bestFit="1" customWidth="1"/>
    <col min="7690" max="7690" width="9.140625" customWidth="1"/>
    <col min="7937" max="7937" width="41" customWidth="1"/>
    <col min="7938" max="7941" width="10.5703125" customWidth="1"/>
    <col min="7942" max="7942" width="17.85546875" customWidth="1"/>
    <col min="7943" max="7943" width="17.140625" customWidth="1"/>
    <col min="7944" max="7944" width="29.85546875" customWidth="1"/>
    <col min="7945" max="7945" width="10.28515625" bestFit="1" customWidth="1"/>
    <col min="7946" max="7946" width="9.140625" customWidth="1"/>
    <col min="8193" max="8193" width="41" customWidth="1"/>
    <col min="8194" max="8197" width="10.5703125" customWidth="1"/>
    <col min="8198" max="8198" width="17.85546875" customWidth="1"/>
    <col min="8199" max="8199" width="17.140625" customWidth="1"/>
    <col min="8200" max="8200" width="29.85546875" customWidth="1"/>
    <col min="8201" max="8201" width="10.28515625" bestFit="1" customWidth="1"/>
    <col min="8202" max="8202" width="9.140625" customWidth="1"/>
    <col min="8449" max="8449" width="41" customWidth="1"/>
    <col min="8450" max="8453" width="10.5703125" customWidth="1"/>
    <col min="8454" max="8454" width="17.85546875" customWidth="1"/>
    <col min="8455" max="8455" width="17.140625" customWidth="1"/>
    <col min="8456" max="8456" width="29.85546875" customWidth="1"/>
    <col min="8457" max="8457" width="10.28515625" bestFit="1" customWidth="1"/>
    <col min="8458" max="8458" width="9.140625" customWidth="1"/>
    <col min="8705" max="8705" width="41" customWidth="1"/>
    <col min="8706" max="8709" width="10.5703125" customWidth="1"/>
    <col min="8710" max="8710" width="17.85546875" customWidth="1"/>
    <col min="8711" max="8711" width="17.140625" customWidth="1"/>
    <col min="8712" max="8712" width="29.85546875" customWidth="1"/>
    <col min="8713" max="8713" width="10.28515625" bestFit="1" customWidth="1"/>
    <col min="8714" max="8714" width="9.140625" customWidth="1"/>
    <col min="8961" max="8961" width="41" customWidth="1"/>
    <col min="8962" max="8965" width="10.5703125" customWidth="1"/>
    <col min="8966" max="8966" width="17.85546875" customWidth="1"/>
    <col min="8967" max="8967" width="17.140625" customWidth="1"/>
    <col min="8968" max="8968" width="29.85546875" customWidth="1"/>
    <col min="8969" max="8969" width="10.28515625" bestFit="1" customWidth="1"/>
    <col min="8970" max="8970" width="9.140625" customWidth="1"/>
    <col min="9217" max="9217" width="41" customWidth="1"/>
    <col min="9218" max="9221" width="10.5703125" customWidth="1"/>
    <col min="9222" max="9222" width="17.85546875" customWidth="1"/>
    <col min="9223" max="9223" width="17.140625" customWidth="1"/>
    <col min="9224" max="9224" width="29.85546875" customWidth="1"/>
    <col min="9225" max="9225" width="10.28515625" bestFit="1" customWidth="1"/>
    <col min="9226" max="9226" width="9.140625" customWidth="1"/>
    <col min="9473" max="9473" width="41" customWidth="1"/>
    <col min="9474" max="9477" width="10.5703125" customWidth="1"/>
    <col min="9478" max="9478" width="17.85546875" customWidth="1"/>
    <col min="9479" max="9479" width="17.140625" customWidth="1"/>
    <col min="9480" max="9480" width="29.85546875" customWidth="1"/>
    <col min="9481" max="9481" width="10.28515625" bestFit="1" customWidth="1"/>
    <col min="9482" max="9482" width="9.140625" customWidth="1"/>
    <col min="9729" max="9729" width="41" customWidth="1"/>
    <col min="9730" max="9733" width="10.5703125" customWidth="1"/>
    <col min="9734" max="9734" width="17.85546875" customWidth="1"/>
    <col min="9735" max="9735" width="17.140625" customWidth="1"/>
    <col min="9736" max="9736" width="29.85546875" customWidth="1"/>
    <col min="9737" max="9737" width="10.28515625" bestFit="1" customWidth="1"/>
    <col min="9738" max="9738" width="9.140625" customWidth="1"/>
    <col min="9985" max="9985" width="41" customWidth="1"/>
    <col min="9986" max="9989" width="10.5703125" customWidth="1"/>
    <col min="9990" max="9990" width="17.85546875" customWidth="1"/>
    <col min="9991" max="9991" width="17.140625" customWidth="1"/>
    <col min="9992" max="9992" width="29.85546875" customWidth="1"/>
    <col min="9993" max="9993" width="10.28515625" bestFit="1" customWidth="1"/>
    <col min="9994" max="9994" width="9.140625" customWidth="1"/>
    <col min="10241" max="10241" width="41" customWidth="1"/>
    <col min="10242" max="10245" width="10.5703125" customWidth="1"/>
    <col min="10246" max="10246" width="17.85546875" customWidth="1"/>
    <col min="10247" max="10247" width="17.140625" customWidth="1"/>
    <col min="10248" max="10248" width="29.85546875" customWidth="1"/>
    <col min="10249" max="10249" width="10.28515625" bestFit="1" customWidth="1"/>
    <col min="10250" max="10250" width="9.140625" customWidth="1"/>
    <col min="10497" max="10497" width="41" customWidth="1"/>
    <col min="10498" max="10501" width="10.5703125" customWidth="1"/>
    <col min="10502" max="10502" width="17.85546875" customWidth="1"/>
    <col min="10503" max="10503" width="17.140625" customWidth="1"/>
    <col min="10504" max="10504" width="29.85546875" customWidth="1"/>
    <col min="10505" max="10505" width="10.28515625" bestFit="1" customWidth="1"/>
    <col min="10506" max="10506" width="9.140625" customWidth="1"/>
    <col min="10753" max="10753" width="41" customWidth="1"/>
    <col min="10754" max="10757" width="10.5703125" customWidth="1"/>
    <col min="10758" max="10758" width="17.85546875" customWidth="1"/>
    <col min="10759" max="10759" width="17.140625" customWidth="1"/>
    <col min="10760" max="10760" width="29.85546875" customWidth="1"/>
    <col min="10761" max="10761" width="10.28515625" bestFit="1" customWidth="1"/>
    <col min="10762" max="10762" width="9.140625" customWidth="1"/>
    <col min="11009" max="11009" width="41" customWidth="1"/>
    <col min="11010" max="11013" width="10.5703125" customWidth="1"/>
    <col min="11014" max="11014" width="17.85546875" customWidth="1"/>
    <col min="11015" max="11015" width="17.140625" customWidth="1"/>
    <col min="11016" max="11016" width="29.85546875" customWidth="1"/>
    <col min="11017" max="11017" width="10.28515625" bestFit="1" customWidth="1"/>
    <col min="11018" max="11018" width="9.140625" customWidth="1"/>
    <col min="11265" max="11265" width="41" customWidth="1"/>
    <col min="11266" max="11269" width="10.5703125" customWidth="1"/>
    <col min="11270" max="11270" width="17.85546875" customWidth="1"/>
    <col min="11271" max="11271" width="17.140625" customWidth="1"/>
    <col min="11272" max="11272" width="29.85546875" customWidth="1"/>
    <col min="11273" max="11273" width="10.28515625" bestFit="1" customWidth="1"/>
    <col min="11274" max="11274" width="9.140625" customWidth="1"/>
    <col min="11521" max="11521" width="41" customWidth="1"/>
    <col min="11522" max="11525" width="10.5703125" customWidth="1"/>
    <col min="11526" max="11526" width="17.85546875" customWidth="1"/>
    <col min="11527" max="11527" width="17.140625" customWidth="1"/>
    <col min="11528" max="11528" width="29.85546875" customWidth="1"/>
    <col min="11529" max="11529" width="10.28515625" bestFit="1" customWidth="1"/>
    <col min="11530" max="11530" width="9.140625" customWidth="1"/>
    <col min="11777" max="11777" width="41" customWidth="1"/>
    <col min="11778" max="11781" width="10.5703125" customWidth="1"/>
    <col min="11782" max="11782" width="17.85546875" customWidth="1"/>
    <col min="11783" max="11783" width="17.140625" customWidth="1"/>
    <col min="11784" max="11784" width="29.85546875" customWidth="1"/>
    <col min="11785" max="11785" width="10.28515625" bestFit="1" customWidth="1"/>
    <col min="11786" max="11786" width="9.140625" customWidth="1"/>
    <col min="12033" max="12033" width="41" customWidth="1"/>
    <col min="12034" max="12037" width="10.5703125" customWidth="1"/>
    <col min="12038" max="12038" width="17.85546875" customWidth="1"/>
    <col min="12039" max="12039" width="17.140625" customWidth="1"/>
    <col min="12040" max="12040" width="29.85546875" customWidth="1"/>
    <col min="12041" max="12041" width="10.28515625" bestFit="1" customWidth="1"/>
    <col min="12042" max="12042" width="9.140625" customWidth="1"/>
    <col min="12289" max="12289" width="41" customWidth="1"/>
    <col min="12290" max="12293" width="10.5703125" customWidth="1"/>
    <col min="12294" max="12294" width="17.85546875" customWidth="1"/>
    <col min="12295" max="12295" width="17.140625" customWidth="1"/>
    <col min="12296" max="12296" width="29.85546875" customWidth="1"/>
    <col min="12297" max="12297" width="10.28515625" bestFit="1" customWidth="1"/>
    <col min="12298" max="12298" width="9.140625" customWidth="1"/>
    <col min="12545" max="12545" width="41" customWidth="1"/>
    <col min="12546" max="12549" width="10.5703125" customWidth="1"/>
    <col min="12550" max="12550" width="17.85546875" customWidth="1"/>
    <col min="12551" max="12551" width="17.140625" customWidth="1"/>
    <col min="12552" max="12552" width="29.85546875" customWidth="1"/>
    <col min="12553" max="12553" width="10.28515625" bestFit="1" customWidth="1"/>
    <col min="12554" max="12554" width="9.140625" customWidth="1"/>
    <col min="12801" max="12801" width="41" customWidth="1"/>
    <col min="12802" max="12805" width="10.5703125" customWidth="1"/>
    <col min="12806" max="12806" width="17.85546875" customWidth="1"/>
    <col min="12807" max="12807" width="17.140625" customWidth="1"/>
    <col min="12808" max="12808" width="29.85546875" customWidth="1"/>
    <col min="12809" max="12809" width="10.28515625" bestFit="1" customWidth="1"/>
    <col min="12810" max="12810" width="9.140625" customWidth="1"/>
    <col min="13057" max="13057" width="41" customWidth="1"/>
    <col min="13058" max="13061" width="10.5703125" customWidth="1"/>
    <col min="13062" max="13062" width="17.85546875" customWidth="1"/>
    <col min="13063" max="13063" width="17.140625" customWidth="1"/>
    <col min="13064" max="13064" width="29.85546875" customWidth="1"/>
    <col min="13065" max="13065" width="10.28515625" bestFit="1" customWidth="1"/>
    <col min="13066" max="13066" width="9.140625" customWidth="1"/>
    <col min="13313" max="13313" width="41" customWidth="1"/>
    <col min="13314" max="13317" width="10.5703125" customWidth="1"/>
    <col min="13318" max="13318" width="17.85546875" customWidth="1"/>
    <col min="13319" max="13319" width="17.140625" customWidth="1"/>
    <col min="13320" max="13320" width="29.85546875" customWidth="1"/>
    <col min="13321" max="13321" width="10.28515625" bestFit="1" customWidth="1"/>
    <col min="13322" max="13322" width="9.140625" customWidth="1"/>
    <col min="13569" max="13569" width="41" customWidth="1"/>
    <col min="13570" max="13573" width="10.5703125" customWidth="1"/>
    <col min="13574" max="13574" width="17.85546875" customWidth="1"/>
    <col min="13575" max="13575" width="17.140625" customWidth="1"/>
    <col min="13576" max="13576" width="29.85546875" customWidth="1"/>
    <col min="13577" max="13577" width="10.28515625" bestFit="1" customWidth="1"/>
    <col min="13578" max="13578" width="9.140625" customWidth="1"/>
    <col min="13825" max="13825" width="41" customWidth="1"/>
    <col min="13826" max="13829" width="10.5703125" customWidth="1"/>
    <col min="13830" max="13830" width="17.85546875" customWidth="1"/>
    <col min="13831" max="13831" width="17.140625" customWidth="1"/>
    <col min="13832" max="13832" width="29.85546875" customWidth="1"/>
    <col min="13833" max="13833" width="10.28515625" bestFit="1" customWidth="1"/>
    <col min="13834" max="13834" width="9.140625" customWidth="1"/>
    <col min="14081" max="14081" width="41" customWidth="1"/>
    <col min="14082" max="14085" width="10.5703125" customWidth="1"/>
    <col min="14086" max="14086" width="17.85546875" customWidth="1"/>
    <col min="14087" max="14087" width="17.140625" customWidth="1"/>
    <col min="14088" max="14088" width="29.85546875" customWidth="1"/>
    <col min="14089" max="14089" width="10.28515625" bestFit="1" customWidth="1"/>
    <col min="14090" max="14090" width="9.140625" customWidth="1"/>
    <col min="14337" max="14337" width="41" customWidth="1"/>
    <col min="14338" max="14341" width="10.5703125" customWidth="1"/>
    <col min="14342" max="14342" width="17.85546875" customWidth="1"/>
    <col min="14343" max="14343" width="17.140625" customWidth="1"/>
    <col min="14344" max="14344" width="29.85546875" customWidth="1"/>
    <col min="14345" max="14345" width="10.28515625" bestFit="1" customWidth="1"/>
    <col min="14346" max="14346" width="9.140625" customWidth="1"/>
    <col min="14593" max="14593" width="41" customWidth="1"/>
    <col min="14594" max="14597" width="10.5703125" customWidth="1"/>
    <col min="14598" max="14598" width="17.85546875" customWidth="1"/>
    <col min="14599" max="14599" width="17.140625" customWidth="1"/>
    <col min="14600" max="14600" width="29.85546875" customWidth="1"/>
    <col min="14601" max="14601" width="10.28515625" bestFit="1" customWidth="1"/>
    <col min="14602" max="14602" width="9.140625" customWidth="1"/>
    <col min="14849" max="14849" width="41" customWidth="1"/>
    <col min="14850" max="14853" width="10.5703125" customWidth="1"/>
    <col min="14854" max="14854" width="17.85546875" customWidth="1"/>
    <col min="14855" max="14855" width="17.140625" customWidth="1"/>
    <col min="14856" max="14856" width="29.85546875" customWidth="1"/>
    <col min="14857" max="14857" width="10.28515625" bestFit="1" customWidth="1"/>
    <col min="14858" max="14858" width="9.140625" customWidth="1"/>
    <col min="15105" max="15105" width="41" customWidth="1"/>
    <col min="15106" max="15109" width="10.5703125" customWidth="1"/>
    <col min="15110" max="15110" width="17.85546875" customWidth="1"/>
    <col min="15111" max="15111" width="17.140625" customWidth="1"/>
    <col min="15112" max="15112" width="29.85546875" customWidth="1"/>
    <col min="15113" max="15113" width="10.28515625" bestFit="1" customWidth="1"/>
    <col min="15114" max="15114" width="9.140625" customWidth="1"/>
    <col min="15361" max="15361" width="41" customWidth="1"/>
    <col min="15362" max="15365" width="10.5703125" customWidth="1"/>
    <col min="15366" max="15366" width="17.85546875" customWidth="1"/>
    <col min="15367" max="15367" width="17.140625" customWidth="1"/>
    <col min="15368" max="15368" width="29.85546875" customWidth="1"/>
    <col min="15369" max="15369" width="10.28515625" bestFit="1" customWidth="1"/>
    <col min="15370" max="15370" width="9.140625" customWidth="1"/>
    <col min="15617" max="15617" width="41" customWidth="1"/>
    <col min="15618" max="15621" width="10.5703125" customWidth="1"/>
    <col min="15622" max="15622" width="17.85546875" customWidth="1"/>
    <col min="15623" max="15623" width="17.140625" customWidth="1"/>
    <col min="15624" max="15624" width="29.85546875" customWidth="1"/>
    <col min="15625" max="15625" width="10.28515625" bestFit="1" customWidth="1"/>
    <col min="15626" max="15626" width="9.140625" customWidth="1"/>
    <col min="15873" max="15873" width="41" customWidth="1"/>
    <col min="15874" max="15877" width="10.5703125" customWidth="1"/>
    <col min="15878" max="15878" width="17.85546875" customWidth="1"/>
    <col min="15879" max="15879" width="17.140625" customWidth="1"/>
    <col min="15880" max="15880" width="29.85546875" customWidth="1"/>
    <col min="15881" max="15881" width="10.28515625" bestFit="1" customWidth="1"/>
    <col min="15882" max="15882" width="9.140625" customWidth="1"/>
    <col min="16129" max="16129" width="41" customWidth="1"/>
    <col min="16130" max="16133" width="10.5703125" customWidth="1"/>
    <col min="16134" max="16134" width="17.85546875" customWidth="1"/>
    <col min="16135" max="16135" width="17.140625" customWidth="1"/>
    <col min="16136" max="16136" width="29.85546875" customWidth="1"/>
    <col min="16137" max="16137" width="10.28515625" bestFit="1" customWidth="1"/>
    <col min="16138" max="16138" width="9.140625" customWidth="1"/>
  </cols>
  <sheetData>
    <row r="1" spans="1:10" x14ac:dyDescent="0.25">
      <c r="A1" s="13" t="s">
        <v>17</v>
      </c>
      <c r="B1" s="14"/>
      <c r="C1" s="14"/>
      <c r="D1" s="15"/>
      <c r="E1" s="15"/>
      <c r="F1" s="15"/>
      <c r="G1" s="15"/>
      <c r="H1" s="128"/>
      <c r="I1" s="15"/>
      <c r="J1" s="15"/>
    </row>
    <row r="2" spans="1:10" ht="15.75" thickBot="1" x14ac:dyDescent="0.3">
      <c r="A2" s="15"/>
      <c r="B2" s="15"/>
      <c r="C2" s="15"/>
      <c r="D2" s="15"/>
      <c r="E2" s="15"/>
      <c r="F2" s="15"/>
      <c r="G2" s="15"/>
      <c r="H2" s="128"/>
      <c r="I2" s="15"/>
      <c r="J2" s="15"/>
    </row>
    <row r="3" spans="1:10" ht="15.75" thickBot="1" x14ac:dyDescent="0.3">
      <c r="A3" s="7" t="s">
        <v>7</v>
      </c>
      <c r="B3" s="499" t="s">
        <v>171</v>
      </c>
      <c r="C3" s="500"/>
      <c r="D3" s="500"/>
      <c r="E3" s="500"/>
      <c r="F3" s="500"/>
      <c r="G3" s="501"/>
      <c r="H3" s="30"/>
      <c r="I3" s="15"/>
      <c r="J3" s="15"/>
    </row>
    <row r="4" spans="1:10" ht="15.75" thickBot="1" x14ac:dyDescent="0.3">
      <c r="A4" s="8" t="s">
        <v>15</v>
      </c>
      <c r="B4" s="499" t="s">
        <v>537</v>
      </c>
      <c r="C4" s="500"/>
      <c r="D4" s="500"/>
      <c r="E4" s="500"/>
      <c r="F4" s="500"/>
      <c r="G4" s="501"/>
      <c r="H4" s="30"/>
      <c r="I4" s="15"/>
      <c r="J4" s="15"/>
    </row>
    <row r="5" spans="1:10" ht="15.75" thickBot="1" x14ac:dyDescent="0.3">
      <c r="A5" s="8" t="s">
        <v>8</v>
      </c>
      <c r="B5" s="499" t="s">
        <v>761</v>
      </c>
      <c r="C5" s="500"/>
      <c r="D5" s="500"/>
      <c r="E5" s="500"/>
      <c r="F5" s="500"/>
      <c r="G5" s="501"/>
      <c r="H5" s="30"/>
      <c r="I5" s="15"/>
      <c r="J5" s="15"/>
    </row>
    <row r="6" spans="1:10" ht="15.75" thickBot="1" x14ac:dyDescent="0.3">
      <c r="A6" s="8" t="s">
        <v>553</v>
      </c>
      <c r="B6" s="445" t="s">
        <v>762</v>
      </c>
      <c r="C6" s="446"/>
      <c r="D6" s="446"/>
      <c r="E6" s="446"/>
      <c r="F6" s="446"/>
      <c r="G6" s="447"/>
      <c r="H6" s="30"/>
      <c r="I6" s="15"/>
      <c r="J6" s="15"/>
    </row>
    <row r="7" spans="1:10" ht="15.75" thickBot="1" x14ac:dyDescent="0.3">
      <c r="A7" s="8" t="s">
        <v>16</v>
      </c>
      <c r="B7" s="649">
        <v>2100000</v>
      </c>
      <c r="C7" s="540"/>
      <c r="D7" s="540"/>
      <c r="E7" s="540"/>
      <c r="F7" s="540"/>
      <c r="G7" s="541"/>
      <c r="H7" s="31"/>
      <c r="I7" s="15"/>
      <c r="J7" s="15"/>
    </row>
    <row r="8" spans="1:10" ht="15.75" thickBot="1" x14ac:dyDescent="0.3">
      <c r="A8" s="8" t="s">
        <v>2</v>
      </c>
      <c r="B8" s="596">
        <v>1</v>
      </c>
      <c r="C8" s="509"/>
      <c r="D8" s="509"/>
      <c r="E8" s="509"/>
      <c r="F8" s="509"/>
      <c r="G8" s="510"/>
      <c r="H8" s="32"/>
      <c r="I8" s="15"/>
      <c r="J8" s="15"/>
    </row>
    <row r="9" spans="1:10" ht="15.75" thickBot="1" x14ac:dyDescent="0.3">
      <c r="A9" s="8" t="s">
        <v>9</v>
      </c>
      <c r="B9" s="508" t="s">
        <v>203</v>
      </c>
      <c r="C9" s="509"/>
      <c r="D9" s="509"/>
      <c r="E9" s="509"/>
      <c r="F9" s="509"/>
      <c r="G9" s="510"/>
      <c r="H9" s="32"/>
      <c r="I9" s="15"/>
      <c r="J9" s="15"/>
    </row>
    <row r="10" spans="1:10" ht="15.75" thickBot="1" x14ac:dyDescent="0.3">
      <c r="A10" s="23"/>
      <c r="B10" s="24"/>
      <c r="C10" s="22"/>
      <c r="D10" s="22"/>
      <c r="E10" s="22"/>
      <c r="F10" s="22"/>
      <c r="G10" s="22"/>
      <c r="H10" s="33"/>
      <c r="I10" s="15"/>
      <c r="J10" s="15"/>
    </row>
    <row r="11" spans="1:10" ht="34.5" thickBot="1" x14ac:dyDescent="0.3">
      <c r="A11" s="28"/>
      <c r="B11" s="26" t="s">
        <v>0</v>
      </c>
      <c r="C11" s="26" t="s">
        <v>14</v>
      </c>
      <c r="D11" s="26" t="s">
        <v>23</v>
      </c>
      <c r="E11" s="26" t="s">
        <v>18</v>
      </c>
      <c r="F11" s="26" t="s">
        <v>10</v>
      </c>
      <c r="G11" s="27" t="s">
        <v>1</v>
      </c>
      <c r="H11" s="34" t="s">
        <v>36</v>
      </c>
      <c r="I11" s="15"/>
      <c r="J11" s="15"/>
    </row>
    <row r="12" spans="1:10" ht="15.75" thickBot="1" x14ac:dyDescent="0.3">
      <c r="A12" s="511" t="s">
        <v>204</v>
      </c>
      <c r="B12" s="512"/>
      <c r="C12" s="512"/>
      <c r="D12" s="512"/>
      <c r="E12" s="512"/>
      <c r="F12" s="512"/>
      <c r="G12" s="513"/>
      <c r="H12" s="35"/>
      <c r="I12" s="15"/>
      <c r="J12" s="15"/>
    </row>
    <row r="13" spans="1:10" ht="15.75" thickBot="1" x14ac:dyDescent="0.3">
      <c r="A13" s="514" t="s">
        <v>24</v>
      </c>
      <c r="B13" s="515"/>
      <c r="C13" s="515"/>
      <c r="D13" s="515"/>
      <c r="E13" s="515"/>
      <c r="F13" s="515"/>
      <c r="G13" s="516"/>
      <c r="H13" s="36"/>
      <c r="I13" s="15"/>
      <c r="J13" s="15"/>
    </row>
    <row r="14" spans="1:10" ht="34.5" thickBot="1" x14ac:dyDescent="0.3">
      <c r="A14" s="1" t="s">
        <v>763</v>
      </c>
      <c r="B14" s="313" t="s">
        <v>232</v>
      </c>
      <c r="C14" s="3">
        <v>17280</v>
      </c>
      <c r="D14" s="4">
        <v>6.4</v>
      </c>
      <c r="E14" s="4">
        <f t="shared" ref="E14:E19" si="0">C14*D14</f>
        <v>110592</v>
      </c>
      <c r="F14" s="12" t="s">
        <v>50</v>
      </c>
      <c r="G14" s="5"/>
      <c r="H14" s="25">
        <f>IF(F14=0,"  ",VLOOKUP(F14,[18]Sheet1!$A$1:$B$8,2,FALSE))</f>
        <v>0</v>
      </c>
      <c r="I14" s="15"/>
      <c r="J14" s="15"/>
    </row>
    <row r="15" spans="1:10" ht="34.5" thickBot="1" x14ac:dyDescent="0.3">
      <c r="A15" s="1" t="s">
        <v>764</v>
      </c>
      <c r="B15" s="313" t="s">
        <v>521</v>
      </c>
      <c r="C15" s="3"/>
      <c r="D15" s="4"/>
      <c r="E15" s="4">
        <f>E14*18.1/100</f>
        <v>20017.152000000002</v>
      </c>
      <c r="F15" s="12" t="s">
        <v>50</v>
      </c>
      <c r="G15" s="453"/>
      <c r="H15" s="25">
        <f>IF(F15=0,"  ",VLOOKUP(F15,[18]Sheet1!$A$1:$B$8,2,FALSE))</f>
        <v>0</v>
      </c>
      <c r="I15" s="15"/>
      <c r="J15" s="15"/>
    </row>
    <row r="16" spans="1:10" ht="34.5" thickBot="1" x14ac:dyDescent="0.3">
      <c r="A16" s="1" t="s">
        <v>522</v>
      </c>
      <c r="B16" s="313" t="s">
        <v>232</v>
      </c>
      <c r="C16" s="3">
        <v>437</v>
      </c>
      <c r="D16" s="4">
        <v>10</v>
      </c>
      <c r="E16" s="4">
        <f t="shared" si="0"/>
        <v>4370</v>
      </c>
      <c r="F16" s="12" t="s">
        <v>50</v>
      </c>
      <c r="G16" s="5"/>
      <c r="H16" s="25">
        <f>IF(F16=0,"  ",VLOOKUP(F16,[18]Sheet1!$A$1:$B$8,2,FALSE))</f>
        <v>0</v>
      </c>
      <c r="I16" s="15"/>
      <c r="J16" s="15"/>
    </row>
    <row r="17" spans="1:10" ht="34.5" thickBot="1" x14ac:dyDescent="0.3">
      <c r="A17" s="1" t="s">
        <v>523</v>
      </c>
      <c r="B17" s="313" t="s">
        <v>232</v>
      </c>
      <c r="C17" s="3">
        <v>437</v>
      </c>
      <c r="D17" s="4">
        <v>10</v>
      </c>
      <c r="E17" s="4">
        <f t="shared" si="0"/>
        <v>4370</v>
      </c>
      <c r="F17" s="12" t="s">
        <v>50</v>
      </c>
      <c r="G17" s="5"/>
      <c r="H17" s="25">
        <f>IF(F17=0,"  ",VLOOKUP(F17,[18]Sheet1!$A$1:$B$8,2,FALSE))</f>
        <v>0</v>
      </c>
      <c r="I17" s="15"/>
      <c r="J17" s="15"/>
    </row>
    <row r="18" spans="1:10" ht="34.5" thickBot="1" x14ac:dyDescent="0.3">
      <c r="A18" s="1" t="s">
        <v>524</v>
      </c>
      <c r="B18" s="313" t="s">
        <v>232</v>
      </c>
      <c r="C18" s="3">
        <v>437</v>
      </c>
      <c r="D18" s="4">
        <v>10</v>
      </c>
      <c r="E18" s="4">
        <f t="shared" si="0"/>
        <v>4370</v>
      </c>
      <c r="F18" s="12" t="s">
        <v>50</v>
      </c>
      <c r="G18" s="5"/>
      <c r="H18" s="25">
        <f>IF(F18=0,"  ",VLOOKUP(F18,[18]Sheet1!$A$1:$B$8,2,FALSE))</f>
        <v>0</v>
      </c>
      <c r="I18" s="15"/>
      <c r="J18" s="15"/>
    </row>
    <row r="19" spans="1:10" ht="34.5" thickBot="1" x14ac:dyDescent="0.3">
      <c r="A19" s="1" t="s">
        <v>525</v>
      </c>
      <c r="B19" s="313" t="s">
        <v>232</v>
      </c>
      <c r="C19" s="3">
        <v>437</v>
      </c>
      <c r="D19" s="4">
        <v>10</v>
      </c>
      <c r="E19" s="4">
        <f t="shared" si="0"/>
        <v>4370</v>
      </c>
      <c r="F19" s="12" t="s">
        <v>50</v>
      </c>
      <c r="G19" s="5"/>
      <c r="H19" s="25">
        <f>IF(F19=0,"  ",VLOOKUP(F19,[18]Sheet1!$A$1:$B$8,2,FALSE))</f>
        <v>0</v>
      </c>
      <c r="I19" s="15"/>
      <c r="J19" s="15"/>
    </row>
    <row r="20" spans="1:10" ht="15.75" thickBot="1" x14ac:dyDescent="0.3">
      <c r="A20" s="517" t="s">
        <v>3</v>
      </c>
      <c r="B20" s="518"/>
      <c r="C20" s="518"/>
      <c r="D20" s="519"/>
      <c r="E20" s="102">
        <f>SUM(E14:E19)</f>
        <v>148089.152</v>
      </c>
      <c r="F20" s="12"/>
      <c r="G20" s="87"/>
      <c r="H20" s="25" t="str">
        <f>IF(F20=0," ",VLOOKUP(F20,[18]Sheet1!$A$1:$B$8,2,FALSE))</f>
        <v xml:space="preserve"> </v>
      </c>
      <c r="I20" s="15"/>
      <c r="J20" s="15"/>
    </row>
    <row r="21" spans="1:10" ht="15.75" thickBot="1" x14ac:dyDescent="0.3">
      <c r="A21" s="520" t="s">
        <v>526</v>
      </c>
      <c r="B21" s="521"/>
      <c r="C21" s="521"/>
      <c r="D21" s="521"/>
      <c r="E21" s="521"/>
      <c r="F21" s="521"/>
      <c r="G21" s="522"/>
      <c r="H21" s="37"/>
      <c r="I21" s="15"/>
      <c r="J21" s="15"/>
    </row>
    <row r="22" spans="1:10" ht="57" thickBot="1" x14ac:dyDescent="0.3">
      <c r="A22" s="1" t="s">
        <v>554</v>
      </c>
      <c r="B22" s="3" t="s">
        <v>352</v>
      </c>
      <c r="C22" s="3">
        <v>320</v>
      </c>
      <c r="D22" s="4">
        <v>770</v>
      </c>
      <c r="E22" s="4">
        <f>C22*D22</f>
        <v>246400</v>
      </c>
      <c r="F22" s="12" t="s">
        <v>56</v>
      </c>
      <c r="G22" s="93"/>
      <c r="H22" s="25" t="str">
        <f>IF(F22=0,"  ",VLOOKUP(F22,[18]Sheet1!$A$1:$B$8,2,FALSE))</f>
        <v>Awarding should comply with the applicable rules on public procurement  (Regulations Art. 8.15).</v>
      </c>
      <c r="I22" s="15"/>
      <c r="J22" s="15"/>
    </row>
    <row r="23" spans="1:10" ht="34.5" thickBot="1" x14ac:dyDescent="0.3">
      <c r="A23" s="1" t="s">
        <v>555</v>
      </c>
      <c r="B23" s="3" t="s">
        <v>352</v>
      </c>
      <c r="C23" s="3">
        <v>12</v>
      </c>
      <c r="D23" s="4">
        <v>2800</v>
      </c>
      <c r="E23" s="4">
        <f>C23*D23</f>
        <v>33600</v>
      </c>
      <c r="F23" s="12" t="s">
        <v>51</v>
      </c>
      <c r="G23" s="93"/>
      <c r="H23" s="25" t="str">
        <f>IF(F23=0,"  ",VLOOKUP(F23,[18]Sheet1!$A$1:$B$8,2,FALSE))</f>
        <v>If lump sums, include a reference to the defined rules approved by the PO.</v>
      </c>
      <c r="I23" s="15"/>
      <c r="J23" s="15"/>
    </row>
    <row r="24" spans="1:10" ht="57" thickBot="1" x14ac:dyDescent="0.3">
      <c r="A24" s="1" t="s">
        <v>556</v>
      </c>
      <c r="B24" s="3" t="s">
        <v>476</v>
      </c>
      <c r="C24" s="3">
        <v>1</v>
      </c>
      <c r="D24" s="4">
        <v>3939</v>
      </c>
      <c r="E24" s="4">
        <f>C24*D24</f>
        <v>3939</v>
      </c>
      <c r="F24" s="12" t="s">
        <v>56</v>
      </c>
      <c r="G24" s="93"/>
      <c r="H24" s="25" t="str">
        <f>IF(F24=0,"  ",VLOOKUP(F24,[18]Sheet1!$A$1:$B$8,2,FALSE))</f>
        <v>Awarding should comply with the applicable rules on public procurement  (Regulations Art. 8.15).</v>
      </c>
      <c r="I24" s="15"/>
      <c r="J24" s="15"/>
    </row>
    <row r="25" spans="1:10" ht="15.75" thickBot="1" x14ac:dyDescent="0.3">
      <c r="A25" s="517" t="s">
        <v>4</v>
      </c>
      <c r="B25" s="518"/>
      <c r="C25" s="518"/>
      <c r="D25" s="523"/>
      <c r="E25" s="102">
        <f>SUM(E22:E24)</f>
        <v>283939</v>
      </c>
      <c r="F25" s="12"/>
      <c r="G25" s="93"/>
      <c r="H25" s="25" t="str">
        <f>IF(F25=0," ",VLOOKUP(F25,[18]Sheet1!$A$1:$B$8,2,FALSE))</f>
        <v xml:space="preserve"> </v>
      </c>
      <c r="I25" s="15"/>
      <c r="J25" s="15"/>
    </row>
    <row r="26" spans="1:10" ht="15.75" thickBot="1" x14ac:dyDescent="0.3">
      <c r="A26" s="520" t="s">
        <v>527</v>
      </c>
      <c r="B26" s="521"/>
      <c r="C26" s="521"/>
      <c r="D26" s="521"/>
      <c r="E26" s="521"/>
      <c r="F26" s="521"/>
      <c r="G26" s="522"/>
      <c r="H26" s="37"/>
      <c r="I26" s="15"/>
      <c r="J26" s="15"/>
    </row>
    <row r="27" spans="1:10" ht="57" thickBot="1" x14ac:dyDescent="0.3">
      <c r="A27" s="1" t="s">
        <v>528</v>
      </c>
      <c r="B27" s="313" t="s">
        <v>476</v>
      </c>
      <c r="C27" s="3">
        <v>3</v>
      </c>
      <c r="D27" s="4">
        <v>7500</v>
      </c>
      <c r="E27" s="4">
        <f>C27*D27</f>
        <v>22500</v>
      </c>
      <c r="F27" s="12" t="s">
        <v>57</v>
      </c>
      <c r="G27" s="93"/>
      <c r="H27" s="25" t="str">
        <f>IF(F27=0,"  ",VLOOKUP(F27,[18]Sheet1!$A$1:$B$8,2,FALSE))</f>
        <v>Include a reference to the relevant article of the project contract.
Examples of costs: information/publicity, translations, specific evaluation, audits, charges for financial transactions, etc.</v>
      </c>
      <c r="I27" s="15"/>
      <c r="J27" s="15"/>
    </row>
    <row r="28" spans="1:10" ht="15.75" thickBot="1" x14ac:dyDescent="0.3">
      <c r="A28" s="517" t="s">
        <v>5</v>
      </c>
      <c r="B28" s="518"/>
      <c r="C28" s="518"/>
      <c r="D28" s="523"/>
      <c r="E28" s="102">
        <f>SUM(E27:E27)</f>
        <v>22500</v>
      </c>
      <c r="F28" s="12"/>
      <c r="G28" s="93"/>
      <c r="H28" s="25" t="str">
        <f>IF(F28=0," ",VLOOKUP(F28,[18]Sheet1!$A$1:$B$8,2,FALSE))</f>
        <v xml:space="preserve"> </v>
      </c>
      <c r="I28" s="15"/>
      <c r="J28" s="15"/>
    </row>
    <row r="29" spans="1:10" ht="15.75" thickBot="1" x14ac:dyDescent="0.3">
      <c r="A29" s="520" t="s">
        <v>529</v>
      </c>
      <c r="B29" s="521"/>
      <c r="C29" s="521"/>
      <c r="D29" s="521"/>
      <c r="E29" s="521"/>
      <c r="F29" s="521"/>
      <c r="G29" s="522"/>
      <c r="H29" s="37"/>
      <c r="I29" s="15"/>
      <c r="J29" s="15"/>
    </row>
    <row r="30" spans="1:10" ht="79.5" thickBot="1" x14ac:dyDescent="0.3">
      <c r="A30" s="1" t="s">
        <v>530</v>
      </c>
      <c r="B30" s="88" t="s">
        <v>531</v>
      </c>
      <c r="C30" s="3">
        <v>4</v>
      </c>
      <c r="D30" s="4">
        <v>323750</v>
      </c>
      <c r="E30" s="4">
        <f>C30*D30</f>
        <v>1295000</v>
      </c>
      <c r="F30" s="12" t="s">
        <v>53</v>
      </c>
      <c r="G30" s="454"/>
      <c r="H30" s="25" t="str">
        <f>IF(F30=0,"  ",VLOOKUP(F30,[18]Sheet1!$A$1:$B$8,2,FALSE))</f>
        <v xml:space="preserve">Refer to a document confirming that the PO determined the equipment as integral and necessary for achieving the outcomes of the PDP. </v>
      </c>
      <c r="I30" s="15"/>
      <c r="J30" s="15"/>
    </row>
    <row r="31" spans="1:10" ht="15.75" thickBot="1" x14ac:dyDescent="0.3">
      <c r="A31" s="517" t="s">
        <v>6</v>
      </c>
      <c r="B31" s="518"/>
      <c r="C31" s="518"/>
      <c r="D31" s="523"/>
      <c r="E31" s="102">
        <f>SUM(E30:E30)</f>
        <v>1295000</v>
      </c>
      <c r="F31" s="12"/>
      <c r="G31" s="93"/>
      <c r="H31" s="25" t="str">
        <f>IF(F31=0," ",VLOOKUP(F31,[18]Sheet1!$A$1:$B$8,2,FALSE))</f>
        <v xml:space="preserve"> </v>
      </c>
      <c r="I31" s="15"/>
      <c r="J31" s="15"/>
    </row>
    <row r="32" spans="1:10" ht="15.75" thickBot="1" x14ac:dyDescent="0.3">
      <c r="A32" s="442" t="s">
        <v>532</v>
      </c>
      <c r="B32" s="443"/>
      <c r="C32" s="443"/>
      <c r="D32" s="443"/>
      <c r="E32" s="443"/>
      <c r="F32" s="443"/>
      <c r="G32" s="444"/>
      <c r="H32" s="37"/>
      <c r="I32" s="15"/>
      <c r="J32" s="15"/>
    </row>
    <row r="33" spans="1:10" ht="34.5" thickBot="1" x14ac:dyDescent="0.3">
      <c r="A33" s="1" t="s">
        <v>445</v>
      </c>
      <c r="B33" s="2" t="s">
        <v>533</v>
      </c>
      <c r="C33" s="3">
        <v>246</v>
      </c>
      <c r="D33" s="4">
        <v>22</v>
      </c>
      <c r="E33" s="4">
        <f t="shared" ref="E33:E43" si="1">C33*D33</f>
        <v>5412</v>
      </c>
      <c r="F33" s="12" t="s">
        <v>51</v>
      </c>
      <c r="G33" s="93"/>
      <c r="H33" s="25" t="str">
        <f>IF(F33=0,"  ",VLOOKUP(F33,[18]Sheet1!$A$1:$B$8,2,FALSE))</f>
        <v>If lump sums, include a reference to the defined rules approved by the PO.</v>
      </c>
      <c r="I33" s="15"/>
      <c r="J33" s="15"/>
    </row>
    <row r="34" spans="1:10" ht="34.5" thickBot="1" x14ac:dyDescent="0.3">
      <c r="A34" s="1" t="s">
        <v>446</v>
      </c>
      <c r="B34" s="2" t="s">
        <v>533</v>
      </c>
      <c r="C34" s="3">
        <v>246</v>
      </c>
      <c r="D34" s="4">
        <v>22</v>
      </c>
      <c r="E34" s="4">
        <f t="shared" si="1"/>
        <v>5412</v>
      </c>
      <c r="F34" s="12" t="s">
        <v>51</v>
      </c>
      <c r="G34" s="93"/>
      <c r="H34" s="25" t="str">
        <f>IF(F34=0,"  ",VLOOKUP(F34,[18]Sheet1!$A$1:$B$8,2,FALSE))</f>
        <v>If lump sums, include a reference to the defined rules approved by the PO.</v>
      </c>
      <c r="I34" s="15"/>
      <c r="J34" s="15"/>
    </row>
    <row r="35" spans="1:10" ht="57" thickBot="1" x14ac:dyDescent="0.3">
      <c r="A35" s="1" t="s">
        <v>447</v>
      </c>
      <c r="B35" s="2" t="s">
        <v>212</v>
      </c>
      <c r="C35" s="3">
        <v>30</v>
      </c>
      <c r="D35" s="4">
        <v>60</v>
      </c>
      <c r="E35" s="4">
        <f t="shared" si="1"/>
        <v>1800</v>
      </c>
      <c r="F35" s="12" t="s">
        <v>57</v>
      </c>
      <c r="G35" s="93"/>
      <c r="H35" s="25" t="str">
        <f>IF(F35=0,"  ",VLOOKUP(F35,[18]Sheet1!$A$1:$B$8,2,FALSE))</f>
        <v>Include a reference to the relevant article of the project contract.
Examples of costs: information/publicity, translations, specific evaluation, audits, charges for financial transactions, etc.</v>
      </c>
      <c r="I35" s="15"/>
      <c r="J35" s="15"/>
    </row>
    <row r="36" spans="1:10" ht="34.5" thickBot="1" x14ac:dyDescent="0.3">
      <c r="A36" s="1" t="s">
        <v>448</v>
      </c>
      <c r="B36" s="2" t="s">
        <v>214</v>
      </c>
      <c r="C36" s="3">
        <v>82</v>
      </c>
      <c r="D36" s="4">
        <v>40</v>
      </c>
      <c r="E36" s="4">
        <f t="shared" si="1"/>
        <v>3280</v>
      </c>
      <c r="F36" s="12" t="s">
        <v>51</v>
      </c>
      <c r="G36" s="93"/>
      <c r="H36" s="25" t="str">
        <f>IF(F36=0,"  ",VLOOKUP(F36,[18]Sheet1!$A$1:$B$8,2,FALSE))</f>
        <v>If lump sums, include a reference to the defined rules approved by the PO.</v>
      </c>
      <c r="I36" s="15"/>
      <c r="J36" s="15"/>
    </row>
    <row r="37" spans="1:10" ht="57" thickBot="1" x14ac:dyDescent="0.3">
      <c r="A37" s="1" t="s">
        <v>449</v>
      </c>
      <c r="B37" s="2" t="s">
        <v>212</v>
      </c>
      <c r="C37" s="3">
        <v>8</v>
      </c>
      <c r="D37" s="4">
        <v>500</v>
      </c>
      <c r="E37" s="4">
        <f t="shared" si="1"/>
        <v>4000</v>
      </c>
      <c r="F37" s="12" t="s">
        <v>56</v>
      </c>
      <c r="G37" s="93"/>
      <c r="H37" s="25" t="str">
        <f>IF(F37=0,"  ",VLOOKUP(F37,[18]Sheet1!$A$1:$B$8,2,FALSE))</f>
        <v>Awarding should comply with the applicable rules on public procurement  (Regulations Art. 8.15).</v>
      </c>
      <c r="I37" s="15"/>
      <c r="J37" s="15"/>
    </row>
    <row r="38" spans="1:10" ht="57" thickBot="1" x14ac:dyDescent="0.3">
      <c r="A38" s="1" t="s">
        <v>450</v>
      </c>
      <c r="B38" s="2" t="s">
        <v>215</v>
      </c>
      <c r="C38" s="3">
        <v>736</v>
      </c>
      <c r="D38" s="4">
        <v>4</v>
      </c>
      <c r="E38" s="4">
        <f t="shared" si="1"/>
        <v>2944</v>
      </c>
      <c r="F38" s="12" t="s">
        <v>56</v>
      </c>
      <c r="G38" s="93"/>
      <c r="H38" s="25" t="str">
        <f>IF(F38=0,"  ",VLOOKUP(F38,[18]Sheet1!$A$1:$B$8,2,FALSE))</f>
        <v>Awarding should comply with the applicable rules on public procurement  (Regulations Art. 8.15).</v>
      </c>
      <c r="I38" s="15"/>
      <c r="J38" s="15"/>
    </row>
    <row r="39" spans="1:10" ht="57" thickBot="1" x14ac:dyDescent="0.3">
      <c r="A39" s="1" t="s">
        <v>224</v>
      </c>
      <c r="B39" s="2" t="s">
        <v>225</v>
      </c>
      <c r="C39" s="3">
        <v>500</v>
      </c>
      <c r="D39" s="4">
        <v>9</v>
      </c>
      <c r="E39" s="4">
        <f t="shared" si="1"/>
        <v>4500</v>
      </c>
      <c r="F39" s="12" t="s">
        <v>56</v>
      </c>
      <c r="G39" s="93"/>
      <c r="H39" s="25" t="str">
        <f>IF(F39=0,"  ",VLOOKUP(F39,[18]Sheet1!$A$1:$B$8,2,FALSE))</f>
        <v>Awarding should comply with the applicable rules on public procurement  (Regulations Art. 8.15).</v>
      </c>
      <c r="I39" s="15"/>
      <c r="J39" s="15"/>
    </row>
    <row r="40" spans="1:10" ht="57" thickBot="1" x14ac:dyDescent="0.3">
      <c r="A40" s="1" t="s">
        <v>451</v>
      </c>
      <c r="B40" s="2" t="s">
        <v>212</v>
      </c>
      <c r="C40" s="3">
        <v>6</v>
      </c>
      <c r="D40" s="4">
        <v>400</v>
      </c>
      <c r="E40" s="4">
        <f t="shared" si="1"/>
        <v>2400</v>
      </c>
      <c r="F40" s="12" t="s">
        <v>56</v>
      </c>
      <c r="G40" s="93"/>
      <c r="H40" s="25" t="str">
        <f>IF(F40=0,"  ",VLOOKUP(F40,[18]Sheet1!$A$1:$B$8,2,FALSE))</f>
        <v>Awarding should comply with the applicable rules on public procurement  (Regulations Art. 8.15).</v>
      </c>
      <c r="I40" s="15"/>
      <c r="J40" s="15"/>
    </row>
    <row r="41" spans="1:10" ht="34.5" thickBot="1" x14ac:dyDescent="0.3">
      <c r="A41" s="1" t="s">
        <v>452</v>
      </c>
      <c r="B41" s="2" t="s">
        <v>212</v>
      </c>
      <c r="C41" s="3">
        <v>8</v>
      </c>
      <c r="D41" s="4">
        <v>175</v>
      </c>
      <c r="E41" s="4">
        <f t="shared" si="1"/>
        <v>1400</v>
      </c>
      <c r="F41" s="12" t="s">
        <v>51</v>
      </c>
      <c r="G41" s="93"/>
      <c r="H41" s="25" t="str">
        <f>IF(F41=0,"  ",VLOOKUP(F41,[18]Sheet1!$A$1:$B$8,2,FALSE))</f>
        <v>If lump sums, include a reference to the defined rules approved by the PO.</v>
      </c>
      <c r="I41" s="15"/>
      <c r="J41" s="15"/>
    </row>
    <row r="42" spans="1:10" ht="34.5" thickBot="1" x14ac:dyDescent="0.3">
      <c r="A42" s="1" t="s">
        <v>453</v>
      </c>
      <c r="B42" s="2" t="s">
        <v>391</v>
      </c>
      <c r="C42" s="3">
        <v>2</v>
      </c>
      <c r="D42" s="4">
        <v>700</v>
      </c>
      <c r="E42" s="4">
        <f t="shared" si="1"/>
        <v>1400</v>
      </c>
      <c r="F42" s="12" t="s">
        <v>51</v>
      </c>
      <c r="G42" s="93"/>
      <c r="H42" s="25" t="str">
        <f>IF(F42=0,"  ",VLOOKUP(F42,[18]Sheet1!$A$1:$B$8,2,FALSE))</f>
        <v>If lump sums, include a reference to the defined rules approved by the PO.</v>
      </c>
      <c r="I42" s="15"/>
      <c r="J42" s="15"/>
    </row>
    <row r="43" spans="1:10" ht="57" thickBot="1" x14ac:dyDescent="0.3">
      <c r="A43" s="1" t="s">
        <v>454</v>
      </c>
      <c r="B43" s="2" t="s">
        <v>212</v>
      </c>
      <c r="C43" s="3">
        <v>8</v>
      </c>
      <c r="D43" s="4">
        <v>450</v>
      </c>
      <c r="E43" s="4">
        <f t="shared" si="1"/>
        <v>3600</v>
      </c>
      <c r="F43" s="12" t="s">
        <v>57</v>
      </c>
      <c r="G43" s="93"/>
      <c r="H43" s="25"/>
      <c r="I43" s="15"/>
      <c r="J43" s="15"/>
    </row>
    <row r="44" spans="1:10" ht="15.75" thickBot="1" x14ac:dyDescent="0.3">
      <c r="A44" s="517" t="s">
        <v>123</v>
      </c>
      <c r="B44" s="518"/>
      <c r="C44" s="518"/>
      <c r="D44" s="519"/>
      <c r="E44" s="102">
        <f>SUM(E33:E43)</f>
        <v>36148</v>
      </c>
      <c r="F44" s="12"/>
      <c r="G44" s="93"/>
      <c r="H44" s="25" t="str">
        <f>IF(F44=0," ",VLOOKUP(F44,[18]Sheet1!$A$1:$B$8,2,FALSE))</f>
        <v xml:space="preserve"> </v>
      </c>
      <c r="I44" s="15"/>
      <c r="J44" s="15"/>
    </row>
    <row r="45" spans="1:10" ht="15.75" thickBot="1" x14ac:dyDescent="0.3">
      <c r="A45" s="442" t="s">
        <v>534</v>
      </c>
      <c r="B45" s="443"/>
      <c r="C45" s="443"/>
      <c r="D45" s="443"/>
      <c r="E45" s="443"/>
      <c r="F45" s="443"/>
      <c r="G45" s="444"/>
      <c r="H45" s="37"/>
      <c r="I45" s="15"/>
      <c r="J45" s="15"/>
    </row>
    <row r="46" spans="1:10" ht="57" thickBot="1" x14ac:dyDescent="0.3">
      <c r="A46" s="1" t="s">
        <v>455</v>
      </c>
      <c r="B46" s="2" t="s">
        <v>456</v>
      </c>
      <c r="C46" s="3">
        <v>70</v>
      </c>
      <c r="D46" s="4">
        <v>650</v>
      </c>
      <c r="E46" s="4">
        <f>C46*D46</f>
        <v>45500</v>
      </c>
      <c r="F46" s="12" t="s">
        <v>56</v>
      </c>
      <c r="G46" s="93"/>
      <c r="H46" s="25" t="str">
        <f>IF(F46=0,"  ",VLOOKUP(F46,[18]Sheet1!$A$1:$B$8,2,FALSE))</f>
        <v>Awarding should comply with the applicable rules on public procurement  (Regulations Art. 8.15).</v>
      </c>
      <c r="I46" s="15"/>
      <c r="J46" s="15"/>
    </row>
    <row r="47" spans="1:10" ht="57" thickBot="1" x14ac:dyDescent="0.3">
      <c r="A47" s="1" t="s">
        <v>457</v>
      </c>
      <c r="B47" s="2" t="s">
        <v>456</v>
      </c>
      <c r="C47" s="3">
        <v>35</v>
      </c>
      <c r="D47" s="4">
        <v>400</v>
      </c>
      <c r="E47" s="4">
        <f>C47*D47</f>
        <v>14000</v>
      </c>
      <c r="F47" s="12" t="s">
        <v>56</v>
      </c>
      <c r="G47" s="93"/>
      <c r="H47" s="25" t="str">
        <f>IF(F47=0,"  ",VLOOKUP(F47,[18]Sheet1!$A$1:$B$8,2,FALSE))</f>
        <v>Awarding should comply with the applicable rules on public procurement  (Regulations Art. 8.15).</v>
      </c>
      <c r="I47" s="15"/>
      <c r="J47" s="15"/>
    </row>
    <row r="48" spans="1:10" ht="57" thickBot="1" x14ac:dyDescent="0.3">
      <c r="A48" s="1" t="s">
        <v>458</v>
      </c>
      <c r="B48" s="2" t="s">
        <v>459</v>
      </c>
      <c r="C48" s="3">
        <v>1</v>
      </c>
      <c r="D48" s="4">
        <v>88340.67</v>
      </c>
      <c r="E48" s="4">
        <f>C48*D48</f>
        <v>88340.67</v>
      </c>
      <c r="F48" s="12" t="s">
        <v>56</v>
      </c>
      <c r="G48" s="93"/>
      <c r="H48" s="25" t="str">
        <f>IF(F48=0,"  ",VLOOKUP(F48,[18]Sheet1!$A$1:$B$8,2,FALSE))</f>
        <v>Awarding should comply with the applicable rules on public procurement  (Regulations Art. 8.15).</v>
      </c>
      <c r="I48" s="15"/>
      <c r="J48" s="15"/>
    </row>
    <row r="49" spans="1:12" ht="15.75" thickBot="1" x14ac:dyDescent="0.3">
      <c r="A49" s="517" t="s">
        <v>126</v>
      </c>
      <c r="B49" s="518"/>
      <c r="C49" s="518"/>
      <c r="D49" s="519"/>
      <c r="E49" s="102">
        <f>SUM(E46:E48)</f>
        <v>147840.66999999998</v>
      </c>
      <c r="F49" s="12"/>
      <c r="G49" s="93">
        <f>(E31+E49)*100/2100000</f>
        <v>68.706698571428575</v>
      </c>
      <c r="H49" s="25" t="str">
        <f>IF(F49=0," ",VLOOKUP(F49,[18]Sheet1!$A$1:$B$8,2,FALSE))</f>
        <v xml:space="preserve"> </v>
      </c>
      <c r="I49" s="15"/>
      <c r="J49" s="15"/>
    </row>
    <row r="50" spans="1:12" ht="15.75" thickBot="1" x14ac:dyDescent="0.3">
      <c r="A50" s="442" t="s">
        <v>535</v>
      </c>
      <c r="B50" s="443"/>
      <c r="C50" s="443"/>
      <c r="D50" s="443"/>
      <c r="E50" s="443"/>
      <c r="F50" s="443"/>
      <c r="G50" s="444"/>
      <c r="H50" s="37"/>
      <c r="I50" s="15"/>
      <c r="J50" s="15"/>
    </row>
    <row r="51" spans="1:12" ht="34.5" thickBot="1" x14ac:dyDescent="0.3">
      <c r="A51" s="1" t="s">
        <v>460</v>
      </c>
      <c r="B51" s="2" t="s">
        <v>212</v>
      </c>
      <c r="C51" s="3">
        <v>100</v>
      </c>
      <c r="D51" s="4">
        <v>35</v>
      </c>
      <c r="E51" s="4">
        <f>C51*D51</f>
        <v>3500</v>
      </c>
      <c r="F51" s="12" t="s">
        <v>51</v>
      </c>
      <c r="G51" s="93"/>
      <c r="H51" s="25" t="str">
        <f>IF(F51=0,"  ",VLOOKUP(F51,[18]Sheet1!$A$1:$B$8,2,FALSE))</f>
        <v>If lump sums, include a reference to the defined rules approved by the PO.</v>
      </c>
      <c r="I51" s="15"/>
      <c r="J51" s="15"/>
    </row>
    <row r="52" spans="1:12" ht="34.5" thickBot="1" x14ac:dyDescent="0.3">
      <c r="A52" s="1" t="s">
        <v>461</v>
      </c>
      <c r="B52" s="2" t="s">
        <v>212</v>
      </c>
      <c r="C52" s="3">
        <v>80</v>
      </c>
      <c r="D52" s="4">
        <v>145</v>
      </c>
      <c r="E52" s="4">
        <f>C52*D52</f>
        <v>11600</v>
      </c>
      <c r="F52" s="12" t="s">
        <v>51</v>
      </c>
      <c r="G52" s="93"/>
      <c r="H52" s="25" t="str">
        <f>IF(F52=0,"  ",VLOOKUP(F52,[18]Sheet1!$A$1:$B$8,2,FALSE))</f>
        <v>If lump sums, include a reference to the defined rules approved by the PO.</v>
      </c>
      <c r="I52" s="15"/>
      <c r="J52" s="15"/>
    </row>
    <row r="53" spans="1:12" ht="34.5" thickBot="1" x14ac:dyDescent="0.3">
      <c r="A53" s="1" t="s">
        <v>462</v>
      </c>
      <c r="B53" s="2" t="s">
        <v>214</v>
      </c>
      <c r="C53" s="3">
        <v>20</v>
      </c>
      <c r="D53" s="4">
        <v>400</v>
      </c>
      <c r="E53" s="4">
        <f>C53*D53</f>
        <v>8000</v>
      </c>
      <c r="F53" s="12" t="s">
        <v>51</v>
      </c>
      <c r="G53" s="93"/>
      <c r="H53" s="25" t="str">
        <f>IF(F53=0,"  ",VLOOKUP(F53,[18]Sheet1!$A$1:$B$8,2,FALSE))</f>
        <v>If lump sums, include a reference to the defined rules approved by the PO.</v>
      </c>
      <c r="I53" s="15"/>
      <c r="J53" s="15"/>
    </row>
    <row r="54" spans="1:12" ht="34.5" thickBot="1" x14ac:dyDescent="0.3">
      <c r="A54" s="1" t="s">
        <v>463</v>
      </c>
      <c r="B54" s="2" t="s">
        <v>214</v>
      </c>
      <c r="C54" s="3">
        <v>20</v>
      </c>
      <c r="D54" s="4">
        <v>100</v>
      </c>
      <c r="E54" s="4">
        <f>C54*D54</f>
        <v>2000</v>
      </c>
      <c r="F54" s="12" t="s">
        <v>51</v>
      </c>
      <c r="G54" s="93"/>
      <c r="H54" s="25" t="str">
        <f>IF(F54=0,"  ",VLOOKUP(F54,[18]Sheet1!$A$1:$B$8,2,FALSE))</f>
        <v>If lump sums, include a reference to the defined rules approved by the PO.</v>
      </c>
      <c r="I54" s="15"/>
      <c r="J54" s="15"/>
    </row>
    <row r="55" spans="1:12" ht="57" thickBot="1" x14ac:dyDescent="0.3">
      <c r="A55" s="1" t="s">
        <v>464</v>
      </c>
      <c r="B55" s="2" t="s">
        <v>212</v>
      </c>
      <c r="C55" s="3">
        <v>10</v>
      </c>
      <c r="D55" s="4">
        <v>400</v>
      </c>
      <c r="E55" s="4">
        <f>C55*D55</f>
        <v>4000</v>
      </c>
      <c r="F55" s="12" t="s">
        <v>57</v>
      </c>
      <c r="G55" s="93"/>
      <c r="H55" s="25" t="str">
        <f>IF(F55=0,"  ",VLOOKUP(F55,[18]Sheet1!$A$1:$B$8,2,FALSE))</f>
        <v>Include a reference to the relevant article of the project contract.
Examples of costs: information/publicity, translations, specific evaluation, audits, charges for financial transactions, etc.</v>
      </c>
      <c r="I55" s="15"/>
      <c r="J55" s="15"/>
    </row>
    <row r="56" spans="1:12" ht="15.75" thickBot="1" x14ac:dyDescent="0.3">
      <c r="A56" s="517" t="s">
        <v>129</v>
      </c>
      <c r="B56" s="518"/>
      <c r="C56" s="518"/>
      <c r="D56" s="519"/>
      <c r="E56" s="102">
        <f>SUM(E51:E55)</f>
        <v>29100</v>
      </c>
      <c r="F56" s="12"/>
      <c r="G56" s="93"/>
      <c r="H56" s="25" t="str">
        <f>IF(F56=0," ",VLOOKUP(F56,[18]Sheet1!$A$1:$B$8,2,FALSE))</f>
        <v xml:space="preserve"> </v>
      </c>
      <c r="I56" s="15"/>
      <c r="J56" s="15"/>
    </row>
    <row r="57" spans="1:12" ht="15.75" thickBot="1" x14ac:dyDescent="0.3">
      <c r="A57" s="526" t="s">
        <v>11</v>
      </c>
      <c r="B57" s="527"/>
      <c r="C57" s="527"/>
      <c r="D57" s="528"/>
      <c r="E57" s="53">
        <f>E20+E25+E28+E31+E44+E49+E56</f>
        <v>1962616.8219999999</v>
      </c>
      <c r="F57" s="93"/>
      <c r="G57" s="93"/>
      <c r="H57" s="38"/>
      <c r="I57" s="15"/>
      <c r="J57" s="15"/>
    </row>
    <row r="58" spans="1:12" ht="15.75" thickBot="1" x14ac:dyDescent="0.3">
      <c r="A58" s="532" t="s">
        <v>227</v>
      </c>
      <c r="B58" s="533"/>
      <c r="C58" s="533"/>
      <c r="D58" s="533"/>
      <c r="E58" s="533"/>
      <c r="F58" s="533"/>
      <c r="G58" s="534"/>
      <c r="H58" s="39"/>
      <c r="I58" s="15"/>
      <c r="J58" s="15"/>
    </row>
    <row r="59" spans="1:12" ht="23.25" thickBot="1" x14ac:dyDescent="0.3">
      <c r="A59" s="526" t="s">
        <v>13</v>
      </c>
      <c r="B59" s="527"/>
      <c r="C59" s="527"/>
      <c r="D59" s="528"/>
      <c r="E59" s="6">
        <f>E57*7/100</f>
        <v>137383.17753999998</v>
      </c>
      <c r="F59" s="93"/>
      <c r="G59" s="93">
        <f>E59*100/E57</f>
        <v>6.9999999999999991</v>
      </c>
      <c r="H59" s="40" t="s">
        <v>40</v>
      </c>
      <c r="I59" s="15"/>
      <c r="J59" s="15"/>
      <c r="L59" s="283">
        <f>E59/E60</f>
        <v>6.5420560747663545E-2</v>
      </c>
    </row>
    <row r="60" spans="1:12" ht="15.75" thickBot="1" x14ac:dyDescent="0.3">
      <c r="A60" s="529" t="s">
        <v>22</v>
      </c>
      <c r="B60" s="530"/>
      <c r="C60" s="530"/>
      <c r="D60" s="531"/>
      <c r="E60" s="106">
        <f>E57+E59</f>
        <v>2099999.9995399998</v>
      </c>
      <c r="F60" s="93"/>
      <c r="G60" s="93"/>
      <c r="H60" s="41"/>
      <c r="I60" s="15"/>
      <c r="J60" s="15"/>
    </row>
    <row r="61" spans="1:12" ht="15.75" thickBot="1" x14ac:dyDescent="0.3">
      <c r="A61" s="15"/>
      <c r="B61" s="15"/>
      <c r="C61" s="15"/>
      <c r="D61" s="15"/>
      <c r="E61" s="15"/>
      <c r="F61" s="15"/>
      <c r="G61" s="15"/>
      <c r="H61" s="128"/>
      <c r="I61" s="15"/>
      <c r="J61" s="15"/>
    </row>
    <row r="62" spans="1:12" ht="15.75" thickBot="1" x14ac:dyDescent="0.3">
      <c r="A62" s="486" t="s">
        <v>229</v>
      </c>
      <c r="B62" s="486"/>
      <c r="C62" s="486"/>
      <c r="D62" s="486"/>
      <c r="E62" s="9">
        <f>E20</f>
        <v>148089.152</v>
      </c>
      <c r="F62" s="15"/>
      <c r="G62" s="15"/>
      <c r="H62" s="128"/>
      <c r="I62" s="15"/>
      <c r="J62" s="15"/>
    </row>
    <row r="63" spans="1:12" ht="15.75" thickBot="1" x14ac:dyDescent="0.3">
      <c r="A63" s="486" t="s">
        <v>20</v>
      </c>
      <c r="B63" s="486"/>
      <c r="C63" s="486"/>
      <c r="D63" s="486"/>
      <c r="E63" s="6">
        <f>E25+E28+E31+E44+E49+E56</f>
        <v>1814527.67</v>
      </c>
      <c r="F63" s="15"/>
      <c r="G63" s="15"/>
      <c r="H63" s="128"/>
      <c r="I63" s="15"/>
      <c r="J63" s="15"/>
    </row>
    <row r="64" spans="1:12" x14ac:dyDescent="0.25">
      <c r="A64" s="15"/>
      <c r="B64" s="15"/>
      <c r="C64" s="15"/>
      <c r="D64" s="15"/>
      <c r="E64" s="15"/>
      <c r="F64" s="15"/>
      <c r="G64" s="15"/>
      <c r="H64" s="128"/>
      <c r="I64" s="15"/>
      <c r="J64" s="15"/>
    </row>
    <row r="65" spans="1:10" ht="15.75" thickBot="1" x14ac:dyDescent="0.3">
      <c r="A65" s="15"/>
      <c r="B65" s="15"/>
      <c r="C65" s="15"/>
      <c r="D65" s="15"/>
      <c r="E65" s="15"/>
      <c r="F65" s="15"/>
      <c r="G65" s="15"/>
      <c r="H65" s="128"/>
      <c r="I65" s="15"/>
      <c r="J65" s="15"/>
    </row>
    <row r="66" spans="1:10" ht="57" thickBot="1" x14ac:dyDescent="0.3">
      <c r="A66" s="21" t="s">
        <v>536</v>
      </c>
      <c r="B66" s="19" t="s">
        <v>27</v>
      </c>
      <c r="C66" s="19" t="s">
        <v>28</v>
      </c>
      <c r="D66" s="19" t="s">
        <v>29</v>
      </c>
      <c r="E66" s="19" t="s">
        <v>30</v>
      </c>
      <c r="F66" s="19" t="s">
        <v>230</v>
      </c>
      <c r="G66" s="19" t="s">
        <v>317</v>
      </c>
      <c r="H66" s="19" t="s">
        <v>318</v>
      </c>
      <c r="I66" s="19" t="s">
        <v>25</v>
      </c>
      <c r="J66" s="42" t="s">
        <v>26</v>
      </c>
    </row>
    <row r="67" spans="1:10" ht="15.75" thickBot="1" x14ac:dyDescent="0.3">
      <c r="A67" s="442" t="s">
        <v>50</v>
      </c>
      <c r="B67" s="268">
        <f>E14+E15+E16+E17+E18+E19</f>
        <v>148089.152</v>
      </c>
      <c r="C67" s="273">
        <v>0</v>
      </c>
      <c r="D67" s="273">
        <v>0</v>
      </c>
      <c r="E67" s="273">
        <v>0</v>
      </c>
      <c r="F67" s="273">
        <v>0</v>
      </c>
      <c r="G67" s="273">
        <v>0</v>
      </c>
      <c r="H67" s="273">
        <f>IF($F$33=A67,$E$33,0)+IF($F$34=A67,$E$34,0)+IF($F$35=A67,$E$35,0)+IF($F$36=A67,$E$36,0)+IF($F$37=A67,$E$37,0)+IF($F$38=A67,$E$38,0)+IF($F$39=A67,$E$39,0)+IF($F$40=A67,$E$40,0)+IF($F$41=A67,$E$41,0)+IF($F$42=A67,$E$42,0)</f>
        <v>0</v>
      </c>
      <c r="I67" s="270">
        <f>SUM(B67:H67)</f>
        <v>148089.152</v>
      </c>
      <c r="J67" s="238">
        <f>I67/I76</f>
        <v>7.0518643824970764E-2</v>
      </c>
    </row>
    <row r="68" spans="1:10" ht="23.25" thickBot="1" x14ac:dyDescent="0.3">
      <c r="A68" s="442" t="s">
        <v>51</v>
      </c>
      <c r="B68" s="272">
        <v>0</v>
      </c>
      <c r="C68" s="273">
        <f>E23</f>
        <v>33600</v>
      </c>
      <c r="D68" s="273">
        <v>0</v>
      </c>
      <c r="E68" s="273">
        <v>0</v>
      </c>
      <c r="F68" s="273">
        <f>E33+E34+E36+E41+E42</f>
        <v>16904</v>
      </c>
      <c r="G68" s="273">
        <v>0</v>
      </c>
      <c r="H68" s="273">
        <f>E51+E52+E53+E54</f>
        <v>25100</v>
      </c>
      <c r="I68" s="89">
        <f>SUM(B68:H68)</f>
        <v>75604</v>
      </c>
      <c r="J68" s="238">
        <f>I68/I76</f>
        <v>3.6001904769790899E-2</v>
      </c>
    </row>
    <row r="69" spans="1:10" ht="23.25" thickBot="1" x14ac:dyDescent="0.3">
      <c r="A69" s="442" t="s">
        <v>52</v>
      </c>
      <c r="B69" s="272">
        <v>0</v>
      </c>
      <c r="C69" s="273">
        <v>0</v>
      </c>
      <c r="D69" s="273">
        <v>0</v>
      </c>
      <c r="E69" s="273">
        <v>0</v>
      </c>
      <c r="F69" s="273">
        <v>0</v>
      </c>
      <c r="G69" s="273">
        <v>0</v>
      </c>
      <c r="H69" s="273">
        <f>IF($F$33=A69,$E$33,0)+IF($F$34=A69,$E$34,0)+IF($F$35=A69,$E$35,0)+IF($F$36=A69,$E$36,0)+IF($F$37=A69,$E$37,0)+IF($F$38=A69,$E$38,0)+IF($F$39=A69,$E$39,0)+IF($F$40=A69,$E$40,0)+IF($F$41=A69,$E$41,0)+IF($F$42=A69,$E$42,0)</f>
        <v>0</v>
      </c>
      <c r="I69" s="89">
        <f t="shared" ref="I69:I74" si="2">SUM(B69:H69)</f>
        <v>0</v>
      </c>
      <c r="J69" s="238">
        <f>I69/I76</f>
        <v>0</v>
      </c>
    </row>
    <row r="70" spans="1:10" ht="23.25" thickBot="1" x14ac:dyDescent="0.3">
      <c r="A70" s="442" t="s">
        <v>53</v>
      </c>
      <c r="B70" s="272">
        <v>0</v>
      </c>
      <c r="C70" s="273">
        <v>0</v>
      </c>
      <c r="D70" s="273">
        <v>0</v>
      </c>
      <c r="E70" s="273">
        <f>E30</f>
        <v>1295000</v>
      </c>
      <c r="F70" s="273">
        <v>0</v>
      </c>
      <c r="G70" s="273">
        <v>0</v>
      </c>
      <c r="H70" s="273">
        <f>IF($F$33=A70,$E$33,0)+IF($F$34=A70,$E$34,0)+IF($F$35=A70,$E$35,0)+IF($F$36=A70,$E$36,0)+IF($F$37=A70,$E$37,0)+IF($F$38=A70,$E$38,0)+IF($F$39=A70,$E$39,0)+IF($F$40=A70,$E$40,0)+IF($F$41=A70,$E$41,0)+IF($F$42=A70,$E$42,0)</f>
        <v>0</v>
      </c>
      <c r="I70" s="89">
        <f>SUM(B70:H70)</f>
        <v>1295000</v>
      </c>
      <c r="J70" s="238">
        <f>I70/I76</f>
        <v>0.61666666680174609</v>
      </c>
    </row>
    <row r="71" spans="1:10" ht="23.25" thickBot="1" x14ac:dyDescent="0.3">
      <c r="A71" s="442" t="s">
        <v>54</v>
      </c>
      <c r="B71" s="272">
        <v>0</v>
      </c>
      <c r="C71" s="273">
        <v>0</v>
      </c>
      <c r="D71" s="273">
        <v>0</v>
      </c>
      <c r="E71" s="273">
        <v>0</v>
      </c>
      <c r="F71" s="273">
        <v>0</v>
      </c>
      <c r="G71" s="273">
        <v>0</v>
      </c>
      <c r="H71" s="273">
        <f>IF($F$33=A71,$E$33,0)+IF($F$34=A71,$E$34,0)+IF($F$35=A71,$E$35,0)+IF($F$36=A71,$E$36,0)+IF($F$37=A71,$E$37,0)+IF($F$38=A71,$E$38,0)+IF($F$39=A71,$E$39,0)+IF($F$40=A71,$E$40,0)+IF($F$41=A71,$E$41,0)+IF($F$42=A71,$E$42,0)</f>
        <v>0</v>
      </c>
      <c r="I71" s="89">
        <f t="shared" si="2"/>
        <v>0</v>
      </c>
      <c r="J71" s="238">
        <f>I71/I76</f>
        <v>0</v>
      </c>
    </row>
    <row r="72" spans="1:10" ht="15.75" thickBot="1" x14ac:dyDescent="0.3">
      <c r="A72" s="442" t="s">
        <v>55</v>
      </c>
      <c r="B72" s="272">
        <v>0</v>
      </c>
      <c r="C72" s="273">
        <v>0</v>
      </c>
      <c r="D72" s="273">
        <v>0</v>
      </c>
      <c r="E72" s="273">
        <v>0</v>
      </c>
      <c r="F72" s="273">
        <v>0</v>
      </c>
      <c r="G72" s="273">
        <v>0</v>
      </c>
      <c r="H72" s="273">
        <f>IF($F$33=A72,$E$33,0)+IF($F$34=A72,$E$34,0)+IF($F$35=A72,$E$35,0)+IF($F$36=A72,$E$36,0)+IF($F$37=A72,$E$37,0)+IF($F$38=A72,$E$38,0)+IF($F$39=A72,$E$39,0)+IF($F$40=A72,$E$40,0)+IF($F$41=A72,$E$41,0)+IF($F$42=A72,$E$42,0)</f>
        <v>0</v>
      </c>
      <c r="I72" s="89">
        <f t="shared" si="2"/>
        <v>0</v>
      </c>
      <c r="J72" s="238">
        <f>I72/I76</f>
        <v>0</v>
      </c>
    </row>
    <row r="73" spans="1:10" ht="23.25" thickBot="1" x14ac:dyDescent="0.3">
      <c r="A73" s="442" t="s">
        <v>56</v>
      </c>
      <c r="B73" s="272">
        <v>0</v>
      </c>
      <c r="C73" s="273">
        <f>E22+E24</f>
        <v>250339</v>
      </c>
      <c r="D73" s="273">
        <v>0</v>
      </c>
      <c r="E73" s="273">
        <v>0</v>
      </c>
      <c r="F73" s="273">
        <f>E37+E38+E39+E40</f>
        <v>13844</v>
      </c>
      <c r="G73" s="269">
        <f>E46+E47+E48</f>
        <v>147840.66999999998</v>
      </c>
      <c r="H73" s="269">
        <v>0</v>
      </c>
      <c r="I73" s="270">
        <f t="shared" si="2"/>
        <v>412023.67</v>
      </c>
      <c r="J73" s="238">
        <f>I73/I76</f>
        <v>0.19620174766202517</v>
      </c>
    </row>
    <row r="74" spans="1:10" ht="23.25" thickBot="1" x14ac:dyDescent="0.3">
      <c r="A74" s="442" t="s">
        <v>57</v>
      </c>
      <c r="B74" s="272">
        <v>0</v>
      </c>
      <c r="C74" s="273">
        <v>0</v>
      </c>
      <c r="D74" s="273">
        <f>E27</f>
        <v>22500</v>
      </c>
      <c r="E74" s="273">
        <v>0</v>
      </c>
      <c r="F74" s="273">
        <f>E35+E43</f>
        <v>5400</v>
      </c>
      <c r="G74" s="273">
        <v>0</v>
      </c>
      <c r="H74" s="273">
        <f>E55</f>
        <v>4000</v>
      </c>
      <c r="I74" s="89">
        <f t="shared" si="2"/>
        <v>31900</v>
      </c>
      <c r="J74" s="238">
        <f>I74/I76</f>
        <v>1.5190476193803629E-2</v>
      </c>
    </row>
    <row r="75" spans="1:10" ht="15.75" thickBot="1" x14ac:dyDescent="0.3">
      <c r="A75" s="442" t="s">
        <v>32</v>
      </c>
      <c r="B75" s="650"/>
      <c r="C75" s="650"/>
      <c r="D75" s="650"/>
      <c r="E75" s="650"/>
      <c r="F75" s="650"/>
      <c r="G75" s="650"/>
      <c r="H75" s="650"/>
      <c r="I75" s="89">
        <f>E59</f>
        <v>137383.17753999998</v>
      </c>
      <c r="J75" s="238">
        <f>I75/I76</f>
        <v>6.5420560747663545E-2</v>
      </c>
    </row>
    <row r="76" spans="1:10" ht="15.75" thickBot="1" x14ac:dyDescent="0.3">
      <c r="A76" s="19" t="s">
        <v>33</v>
      </c>
      <c r="B76" s="271">
        <f t="shared" ref="B76:H76" si="3">SUM(B67:B74)</f>
        <v>148089.152</v>
      </c>
      <c r="C76" s="47">
        <f t="shared" si="3"/>
        <v>283939</v>
      </c>
      <c r="D76" s="47">
        <f t="shared" si="3"/>
        <v>22500</v>
      </c>
      <c r="E76" s="47">
        <f t="shared" si="3"/>
        <v>1295000</v>
      </c>
      <c r="F76" s="47">
        <f t="shared" si="3"/>
        <v>36148</v>
      </c>
      <c r="G76" s="271">
        <f t="shared" si="3"/>
        <v>147840.66999999998</v>
      </c>
      <c r="H76" s="47">
        <f t="shared" si="3"/>
        <v>29100</v>
      </c>
      <c r="I76" s="47">
        <f>SUM(I67:I75)</f>
        <v>2099999.9995399998</v>
      </c>
    </row>
    <row r="77" spans="1:10" ht="15.75" thickBot="1" x14ac:dyDescent="0.3">
      <c r="A77" s="19" t="s">
        <v>34</v>
      </c>
      <c r="B77" s="239">
        <f>B76/I76</f>
        <v>7.0518643824970764E-2</v>
      </c>
      <c r="C77" s="239">
        <f>C76/I76</f>
        <v>0.13520904764866484</v>
      </c>
      <c r="D77" s="239">
        <f>D76/I76</f>
        <v>1.0714285716632655E-2</v>
      </c>
      <c r="E77" s="239">
        <f>E76/I76</f>
        <v>0.61666666680174609</v>
      </c>
      <c r="F77" s="239">
        <f>F76/I76</f>
        <v>1.7213333337103873E-2</v>
      </c>
      <c r="G77" s="239">
        <f>G76/I76</f>
        <v>7.0400319063040076E-2</v>
      </c>
      <c r="H77" s="239">
        <f>H76/I76</f>
        <v>1.3857142860178234E-2</v>
      </c>
      <c r="I77" s="239">
        <f>I76/I76</f>
        <v>1</v>
      </c>
    </row>
    <row r="78" spans="1:10" x14ac:dyDescent="0.25">
      <c r="A78" s="20"/>
      <c r="B78" s="20"/>
      <c r="C78" s="20"/>
      <c r="D78" s="20"/>
      <c r="E78" s="20"/>
      <c r="F78" s="20"/>
      <c r="G78" s="20"/>
      <c r="H78" s="314"/>
      <c r="I78" s="15"/>
      <c r="J78" s="15"/>
    </row>
    <row r="79" spans="1:10" x14ac:dyDescent="0.25">
      <c r="A79" s="15"/>
      <c r="B79" s="15"/>
      <c r="C79" s="15"/>
      <c r="D79" s="15"/>
      <c r="E79" s="15"/>
      <c r="F79" s="15"/>
      <c r="G79" s="15"/>
      <c r="H79" s="128"/>
      <c r="I79" s="15"/>
      <c r="J79" s="15"/>
    </row>
    <row r="82" spans="1:2" x14ac:dyDescent="0.25">
      <c r="A82" s="292" t="s">
        <v>538</v>
      </c>
      <c r="B82" s="294">
        <f>I67+I68+I73+I74</f>
        <v>667616.82199999993</v>
      </c>
    </row>
    <row r="83" spans="1:2" x14ac:dyDescent="0.25">
      <c r="A83" s="292" t="s">
        <v>539</v>
      </c>
      <c r="B83" s="294">
        <f>ROUND(B82*6.54%,2)</f>
        <v>43662.14</v>
      </c>
    </row>
    <row r="84" spans="1:2" x14ac:dyDescent="0.25">
      <c r="A84" s="293" t="s">
        <v>34</v>
      </c>
      <c r="B84" s="295">
        <f>(B82+B83)/E60</f>
        <v>0.33870426769323997</v>
      </c>
    </row>
  </sheetData>
  <mergeCells count="26">
    <mergeCell ref="B75:F75"/>
    <mergeCell ref="G75:H75"/>
    <mergeCell ref="A57:D57"/>
    <mergeCell ref="A58:G58"/>
    <mergeCell ref="A59:D59"/>
    <mergeCell ref="A60:D60"/>
    <mergeCell ref="A62:D62"/>
    <mergeCell ref="A63:D63"/>
    <mergeCell ref="A56:D56"/>
    <mergeCell ref="A12:G12"/>
    <mergeCell ref="A13:G13"/>
    <mergeCell ref="A20:D20"/>
    <mergeCell ref="A21:G21"/>
    <mergeCell ref="A25:D25"/>
    <mergeCell ref="A26:G26"/>
    <mergeCell ref="A28:D28"/>
    <mergeCell ref="A29:G29"/>
    <mergeCell ref="A31:D31"/>
    <mergeCell ref="A44:D44"/>
    <mergeCell ref="A49:D49"/>
    <mergeCell ref="B9:G9"/>
    <mergeCell ref="B3:G3"/>
    <mergeCell ref="B4:G4"/>
    <mergeCell ref="B5:G5"/>
    <mergeCell ref="B7:G7"/>
    <mergeCell ref="B8:G8"/>
  </mergeCells>
  <pageMargins left="0.7" right="0.25" top="0.25" bottom="0.25" header="0.05" footer="0.05"/>
  <pageSetup paperSize="9" scale="70" orientation="portrait" horizontalDpi="4294967294" verticalDpi="4294967294"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3"/>
  <sheetViews>
    <sheetView topLeftCell="A112" workbookViewId="0">
      <selection activeCell="B131" sqref="B131"/>
    </sheetView>
  </sheetViews>
  <sheetFormatPr defaultRowHeight="15" x14ac:dyDescent="0.25"/>
  <cols>
    <col min="1" max="1" width="41" customWidth="1"/>
    <col min="2" max="5" width="10.5703125" customWidth="1"/>
    <col min="6" max="6" width="17.85546875" customWidth="1"/>
    <col min="7" max="7" width="37.42578125" customWidth="1"/>
    <col min="8" max="8" width="33.140625" customWidth="1"/>
  </cols>
  <sheetData>
    <row r="1" spans="1:8" x14ac:dyDescent="0.25">
      <c r="A1" s="361" t="s">
        <v>17</v>
      </c>
      <c r="B1" s="362"/>
      <c r="C1" s="362"/>
      <c r="D1" s="363"/>
      <c r="E1" s="363"/>
      <c r="F1" s="363"/>
      <c r="G1" s="363"/>
      <c r="H1" s="364"/>
    </row>
    <row r="2" spans="1:8" ht="15.75" thickBot="1" x14ac:dyDescent="0.3">
      <c r="A2" s="363"/>
      <c r="B2" s="363"/>
      <c r="C2" s="363"/>
      <c r="D2" s="363"/>
      <c r="E2" s="363"/>
      <c r="F2" s="363"/>
      <c r="G2" s="363"/>
      <c r="H2" s="364"/>
    </row>
    <row r="3" spans="1:8" ht="15.75" thickBot="1" x14ac:dyDescent="0.3">
      <c r="A3" s="365" t="s">
        <v>7</v>
      </c>
      <c r="B3" s="656" t="s">
        <v>171</v>
      </c>
      <c r="C3" s="657"/>
      <c r="D3" s="657"/>
      <c r="E3" s="657"/>
      <c r="F3" s="657"/>
      <c r="G3" s="658"/>
      <c r="H3" s="366"/>
    </row>
    <row r="4" spans="1:8" ht="15.75" thickBot="1" x14ac:dyDescent="0.3">
      <c r="A4" s="85" t="s">
        <v>15</v>
      </c>
      <c r="B4" s="656" t="s">
        <v>571</v>
      </c>
      <c r="C4" s="657"/>
      <c r="D4" s="657"/>
      <c r="E4" s="657"/>
      <c r="F4" s="657"/>
      <c r="G4" s="658"/>
      <c r="H4" s="366"/>
    </row>
    <row r="5" spans="1:8" ht="15.75" thickBot="1" x14ac:dyDescent="0.3">
      <c r="A5" s="85" t="s">
        <v>8</v>
      </c>
      <c r="B5" s="656" t="s">
        <v>572</v>
      </c>
      <c r="C5" s="657"/>
      <c r="D5" s="657"/>
      <c r="E5" s="657"/>
      <c r="F5" s="657"/>
      <c r="G5" s="658"/>
      <c r="H5" s="366"/>
    </row>
    <row r="6" spans="1:8" ht="15.75" thickBot="1" x14ac:dyDescent="0.3">
      <c r="A6" s="85" t="s">
        <v>16</v>
      </c>
      <c r="B6" s="659">
        <v>600000</v>
      </c>
      <c r="C6" s="660"/>
      <c r="D6" s="660"/>
      <c r="E6" s="660"/>
      <c r="F6" s="660"/>
      <c r="G6" s="661"/>
      <c r="H6" s="367"/>
    </row>
    <row r="7" spans="1:8" ht="15.75" thickBot="1" x14ac:dyDescent="0.3">
      <c r="A7" s="85" t="s">
        <v>2</v>
      </c>
      <c r="B7" s="662">
        <v>1</v>
      </c>
      <c r="C7" s="654"/>
      <c r="D7" s="654"/>
      <c r="E7" s="654"/>
      <c r="F7" s="654"/>
      <c r="G7" s="655"/>
      <c r="H7" s="368"/>
    </row>
    <row r="8" spans="1:8" ht="15.75" thickBot="1" x14ac:dyDescent="0.3">
      <c r="A8" s="85" t="s">
        <v>9</v>
      </c>
      <c r="B8" s="653" t="s">
        <v>203</v>
      </c>
      <c r="C8" s="654"/>
      <c r="D8" s="654"/>
      <c r="E8" s="654"/>
      <c r="F8" s="654"/>
      <c r="G8" s="655"/>
      <c r="H8" s="368"/>
    </row>
    <row r="9" spans="1:8" ht="15.75" thickBot="1" x14ac:dyDescent="0.3">
      <c r="A9" s="23"/>
      <c r="B9" s="369"/>
      <c r="C9" s="370"/>
      <c r="D9" s="370"/>
      <c r="E9" s="370"/>
      <c r="F9" s="370"/>
      <c r="G9" s="370"/>
      <c r="H9" s="371"/>
    </row>
    <row r="10" spans="1:8" ht="34.5" thickBot="1" x14ac:dyDescent="0.3">
      <c r="A10" s="28"/>
      <c r="B10" s="26" t="s">
        <v>0</v>
      </c>
      <c r="C10" s="26" t="s">
        <v>14</v>
      </c>
      <c r="D10" s="26" t="s">
        <v>23</v>
      </c>
      <c r="E10" s="26" t="s">
        <v>18</v>
      </c>
      <c r="F10" s="26" t="s">
        <v>10</v>
      </c>
      <c r="G10" s="27" t="s">
        <v>1</v>
      </c>
      <c r="H10" s="34" t="s">
        <v>36</v>
      </c>
    </row>
    <row r="11" spans="1:8" ht="15.75" thickBot="1" x14ac:dyDescent="0.3">
      <c r="A11" s="511" t="s">
        <v>21</v>
      </c>
      <c r="B11" s="512"/>
      <c r="C11" s="512"/>
      <c r="D11" s="512"/>
      <c r="E11" s="512"/>
      <c r="F11" s="512"/>
      <c r="G11" s="513"/>
      <c r="H11" s="35"/>
    </row>
    <row r="12" spans="1:8" ht="15.75" thickBot="1" x14ac:dyDescent="0.3">
      <c r="A12" s="514" t="s">
        <v>24</v>
      </c>
      <c r="B12" s="515"/>
      <c r="C12" s="515"/>
      <c r="D12" s="515"/>
      <c r="E12" s="515"/>
      <c r="F12" s="515"/>
      <c r="G12" s="516"/>
      <c r="H12" s="36"/>
    </row>
    <row r="13" spans="1:8" ht="34.5" thickBot="1" x14ac:dyDescent="0.3">
      <c r="A13" s="74" t="s">
        <v>321</v>
      </c>
      <c r="B13" s="2" t="s">
        <v>573</v>
      </c>
      <c r="C13" s="3"/>
      <c r="D13" s="4" t="s">
        <v>573</v>
      </c>
      <c r="E13" s="4" t="s">
        <v>573</v>
      </c>
      <c r="F13" s="12" t="s">
        <v>50</v>
      </c>
      <c r="G13" s="5"/>
      <c r="H13" s="25">
        <f>IF(F13=0,"  ",VLOOKUP(F13,[19]Sheet1!$A$1:$B$8,2,FALSE))</f>
        <v>0</v>
      </c>
    </row>
    <row r="14" spans="1:8" ht="34.5" thickBot="1" x14ac:dyDescent="0.3">
      <c r="A14" s="1" t="s">
        <v>574</v>
      </c>
      <c r="B14" s="2" t="s">
        <v>66</v>
      </c>
      <c r="C14" s="3">
        <f>220*2*3</f>
        <v>1320</v>
      </c>
      <c r="D14" s="112">
        <f>1800/21/8/1.9558</f>
        <v>5.4782113274801683</v>
      </c>
      <c r="E14" s="112">
        <f t="shared" ref="E14:E19" si="0">C14*D14</f>
        <v>7231.2389522738222</v>
      </c>
      <c r="F14" s="12" t="s">
        <v>50</v>
      </c>
      <c r="G14" s="5"/>
      <c r="H14" s="25"/>
    </row>
    <row r="15" spans="1:8" ht="34.5" thickBot="1" x14ac:dyDescent="0.3">
      <c r="A15" s="1" t="s">
        <v>575</v>
      </c>
      <c r="B15" s="2" t="s">
        <v>66</v>
      </c>
      <c r="C15" s="3">
        <f>220*2*3</f>
        <v>1320</v>
      </c>
      <c r="D15" s="112">
        <f>1800/21/8/1.9558</f>
        <v>5.4782113274801683</v>
      </c>
      <c r="E15" s="112">
        <f t="shared" si="0"/>
        <v>7231.2389522738222</v>
      </c>
      <c r="F15" s="12" t="s">
        <v>50</v>
      </c>
      <c r="G15" s="5"/>
      <c r="H15" s="25"/>
    </row>
    <row r="16" spans="1:8" ht="34.5" thickBot="1" x14ac:dyDescent="0.3">
      <c r="A16" s="1" t="s">
        <v>575</v>
      </c>
      <c r="B16" s="2" t="s">
        <v>66</v>
      </c>
      <c r="C16" s="3">
        <f>220*2*3</f>
        <v>1320</v>
      </c>
      <c r="D16" s="112">
        <f>1800/21/8/1.9558</f>
        <v>5.4782113274801683</v>
      </c>
      <c r="E16" s="112">
        <f t="shared" si="0"/>
        <v>7231.2389522738222</v>
      </c>
      <c r="F16" s="12" t="s">
        <v>50</v>
      </c>
      <c r="G16" s="5"/>
      <c r="H16" s="25"/>
    </row>
    <row r="17" spans="1:8" ht="34.5" thickBot="1" x14ac:dyDescent="0.3">
      <c r="A17" s="1" t="s">
        <v>575</v>
      </c>
      <c r="B17" s="2" t="s">
        <v>66</v>
      </c>
      <c r="C17" s="3">
        <f>220*2*3</f>
        <v>1320</v>
      </c>
      <c r="D17" s="112">
        <f>1800/21/8/1.9558</f>
        <v>5.4782113274801683</v>
      </c>
      <c r="E17" s="112">
        <f t="shared" si="0"/>
        <v>7231.2389522738222</v>
      </c>
      <c r="F17" s="12" t="s">
        <v>50</v>
      </c>
      <c r="G17" s="5"/>
      <c r="H17" s="25"/>
    </row>
    <row r="18" spans="1:8" ht="68.25" thickBot="1" x14ac:dyDescent="0.3">
      <c r="A18" s="1" t="s">
        <v>576</v>
      </c>
      <c r="B18" s="372" t="s">
        <v>577</v>
      </c>
      <c r="C18" s="3">
        <v>1</v>
      </c>
      <c r="D18" s="4">
        <v>5000</v>
      </c>
      <c r="E18" s="112">
        <f t="shared" si="0"/>
        <v>5000</v>
      </c>
      <c r="F18" s="12" t="s">
        <v>56</v>
      </c>
      <c r="G18" s="46" t="s">
        <v>578</v>
      </c>
      <c r="H18" s="25"/>
    </row>
    <row r="19" spans="1:8" ht="124.5" thickBot="1" x14ac:dyDescent="0.3">
      <c r="A19" s="1" t="s">
        <v>579</v>
      </c>
      <c r="B19" s="372" t="s">
        <v>577</v>
      </c>
      <c r="C19" s="3">
        <v>1</v>
      </c>
      <c r="D19" s="4">
        <v>2000</v>
      </c>
      <c r="E19" s="112">
        <f t="shared" si="0"/>
        <v>2000</v>
      </c>
      <c r="F19" s="12" t="s">
        <v>56</v>
      </c>
      <c r="G19" s="46" t="s">
        <v>580</v>
      </c>
      <c r="H19" s="25" t="str">
        <f>IF(F19=0," ",VLOOKUP(F19,[19]Sheet1!$A$1:$B$8,2,FALSE))</f>
        <v>Awarding should comply with the applicable rules on public procurement  (Regulations Art. 8.15).</v>
      </c>
    </row>
    <row r="20" spans="1:8" ht="15.75" thickBot="1" x14ac:dyDescent="0.3">
      <c r="A20" s="517" t="s">
        <v>3</v>
      </c>
      <c r="B20" s="518"/>
      <c r="C20" s="518"/>
      <c r="D20" s="519"/>
      <c r="E20" s="113">
        <f>SUM(E14:E19)</f>
        <v>35924.955809095292</v>
      </c>
      <c r="F20" s="12"/>
      <c r="G20" s="87"/>
      <c r="H20" s="25" t="str">
        <f>IF(F20=0," ",VLOOKUP(F20,[19]Sheet1!$A$1:$B$8,2,FALSE))</f>
        <v xml:space="preserve"> </v>
      </c>
    </row>
    <row r="21" spans="1:8" ht="15.75" thickBot="1" x14ac:dyDescent="0.3">
      <c r="A21" s="520" t="s">
        <v>581</v>
      </c>
      <c r="B21" s="521"/>
      <c r="C21" s="521"/>
      <c r="D21" s="521"/>
      <c r="E21" s="521"/>
      <c r="F21" s="521"/>
      <c r="G21" s="522"/>
      <c r="H21" s="37"/>
    </row>
    <row r="22" spans="1:8" ht="124.5" thickBot="1" x14ac:dyDescent="0.3">
      <c r="A22" s="1" t="s">
        <v>582</v>
      </c>
      <c r="B22" s="2" t="s">
        <v>583</v>
      </c>
      <c r="C22" s="3">
        <v>330</v>
      </c>
      <c r="D22" s="4">
        <v>80</v>
      </c>
      <c r="E22" s="112">
        <f>C22*D22</f>
        <v>26400</v>
      </c>
      <c r="F22" s="12" t="s">
        <v>51</v>
      </c>
      <c r="G22" s="90" t="s">
        <v>584</v>
      </c>
      <c r="H22" s="25" t="str">
        <f>IF(F22=0," ",VLOOKUP(F22,[19]Sheet1!$A$1:$B$8,2,FALSE))</f>
        <v>If lump sums, include a reference to the defined rules approved by the PO.</v>
      </c>
    </row>
    <row r="23" spans="1:8" ht="57" thickBot="1" x14ac:dyDescent="0.3">
      <c r="A23" s="1" t="s">
        <v>585</v>
      </c>
      <c r="B23" s="2" t="s">
        <v>212</v>
      </c>
      <c r="C23" s="3">
        <v>15</v>
      </c>
      <c r="D23" s="4">
        <v>200</v>
      </c>
      <c r="E23" s="112">
        <f>C23*D23</f>
        <v>3000</v>
      </c>
      <c r="F23" s="12" t="s">
        <v>56</v>
      </c>
      <c r="G23" s="93" t="s">
        <v>586</v>
      </c>
      <c r="H23" s="25"/>
    </row>
    <row r="24" spans="1:8" ht="57" thickBot="1" x14ac:dyDescent="0.3">
      <c r="A24" s="1" t="s">
        <v>587</v>
      </c>
      <c r="B24" s="372" t="s">
        <v>588</v>
      </c>
      <c r="C24" s="3">
        <v>330</v>
      </c>
      <c r="D24" s="4">
        <v>25</v>
      </c>
      <c r="E24" s="112">
        <f>C24*D24</f>
        <v>8250</v>
      </c>
      <c r="F24" s="12" t="s">
        <v>56</v>
      </c>
      <c r="G24" s="93" t="s">
        <v>586</v>
      </c>
      <c r="H24" s="25"/>
    </row>
    <row r="25" spans="1:8" ht="57" thickBot="1" x14ac:dyDescent="0.3">
      <c r="A25" s="1" t="s">
        <v>589</v>
      </c>
      <c r="B25" s="2" t="s">
        <v>66</v>
      </c>
      <c r="C25" s="3">
        <v>81</v>
      </c>
      <c r="D25" s="4">
        <v>51</v>
      </c>
      <c r="E25" s="112">
        <f>C25*D25</f>
        <v>4131</v>
      </c>
      <c r="F25" s="12" t="s">
        <v>56</v>
      </c>
      <c r="G25" s="90" t="s">
        <v>590</v>
      </c>
      <c r="H25" s="25" t="str">
        <f>IF(F25=0," ",VLOOKUP(F25,[19]Sheet1!$A$1:$B$8,2,FALSE))</f>
        <v>Awarding should comply with the applicable rules on public procurement  (Regulations Art. 8.15).</v>
      </c>
    </row>
    <row r="26" spans="1:8" ht="57" thickBot="1" x14ac:dyDescent="0.3">
      <c r="A26" s="1" t="s">
        <v>591</v>
      </c>
      <c r="B26" s="2" t="s">
        <v>592</v>
      </c>
      <c r="C26" s="3">
        <v>60</v>
      </c>
      <c r="D26" s="4">
        <v>3.5</v>
      </c>
      <c r="E26" s="112">
        <f>C26*D26</f>
        <v>210</v>
      </c>
      <c r="F26" s="12" t="s">
        <v>55</v>
      </c>
      <c r="G26" s="90" t="s">
        <v>593</v>
      </c>
      <c r="H26" s="25"/>
    </row>
    <row r="27" spans="1:8" ht="15.75" thickBot="1" x14ac:dyDescent="0.3">
      <c r="A27" s="517" t="s">
        <v>4</v>
      </c>
      <c r="B27" s="518"/>
      <c r="C27" s="518"/>
      <c r="D27" s="523"/>
      <c r="E27" s="113">
        <f>SUM(E22:E26)</f>
        <v>41991</v>
      </c>
      <c r="F27" s="12"/>
      <c r="G27" s="93"/>
      <c r="H27" s="25" t="str">
        <f>IF(F27=0," ",VLOOKUP(F27,[19]Sheet1!$A$1:$B$8,2,FALSE))</f>
        <v xml:space="preserve"> </v>
      </c>
    </row>
    <row r="28" spans="1:8" ht="15.75" thickBot="1" x14ac:dyDescent="0.3">
      <c r="A28" s="520" t="s">
        <v>594</v>
      </c>
      <c r="B28" s="521"/>
      <c r="C28" s="521"/>
      <c r="D28" s="521"/>
      <c r="E28" s="521"/>
      <c r="F28" s="521"/>
      <c r="G28" s="522"/>
      <c r="H28" s="37"/>
    </row>
    <row r="29" spans="1:8" ht="57" thickBot="1" x14ac:dyDescent="0.3">
      <c r="A29" s="1" t="s">
        <v>595</v>
      </c>
      <c r="B29" s="2" t="s">
        <v>583</v>
      </c>
      <c r="C29" s="3">
        <v>10</v>
      </c>
      <c r="D29" s="4">
        <v>80</v>
      </c>
      <c r="E29" s="112">
        <f>C29*D29</f>
        <v>800</v>
      </c>
      <c r="F29" s="12" t="s">
        <v>51</v>
      </c>
      <c r="G29" s="357" t="s">
        <v>593</v>
      </c>
      <c r="H29" s="25" t="str">
        <f>IF(F29=0," ",VLOOKUP(F29,[19]Sheet1!$A$1:$B$8,2,FALSE))</f>
        <v>If lump sums, include a reference to the defined rules approved by the PO.</v>
      </c>
    </row>
    <row r="30" spans="1:8" ht="57" thickBot="1" x14ac:dyDescent="0.3">
      <c r="A30" s="1" t="s">
        <v>596</v>
      </c>
      <c r="B30" s="2" t="s">
        <v>212</v>
      </c>
      <c r="C30" s="3">
        <v>2</v>
      </c>
      <c r="D30" s="4">
        <v>200</v>
      </c>
      <c r="E30" s="112">
        <f>C30*D30</f>
        <v>400</v>
      </c>
      <c r="F30" s="12" t="s">
        <v>56</v>
      </c>
      <c r="G30" s="93" t="s">
        <v>586</v>
      </c>
      <c r="H30" s="25"/>
    </row>
    <row r="31" spans="1:8" ht="57" thickBot="1" x14ac:dyDescent="0.3">
      <c r="A31" s="1" t="s">
        <v>597</v>
      </c>
      <c r="B31" s="372" t="s">
        <v>588</v>
      </c>
      <c r="C31" s="3">
        <v>84</v>
      </c>
      <c r="D31" s="4">
        <v>20</v>
      </c>
      <c r="E31" s="112">
        <f>C31*D31</f>
        <v>1680</v>
      </c>
      <c r="F31" s="12" t="s">
        <v>56</v>
      </c>
      <c r="G31" s="93" t="s">
        <v>586</v>
      </c>
      <c r="H31" s="25"/>
    </row>
    <row r="32" spans="1:8" ht="57" thickBot="1" x14ac:dyDescent="0.3">
      <c r="A32" s="1" t="s">
        <v>598</v>
      </c>
      <c r="B32" s="2" t="s">
        <v>212</v>
      </c>
      <c r="C32" s="3">
        <v>2</v>
      </c>
      <c r="D32" s="4">
        <v>200</v>
      </c>
      <c r="E32" s="112">
        <f>C32*D32</f>
        <v>400</v>
      </c>
      <c r="F32" s="12" t="s">
        <v>56</v>
      </c>
      <c r="G32" s="93" t="s">
        <v>599</v>
      </c>
      <c r="H32" s="25"/>
    </row>
    <row r="33" spans="1:8" ht="57" thickBot="1" x14ac:dyDescent="0.3">
      <c r="A33" s="1" t="s">
        <v>591</v>
      </c>
      <c r="B33" s="2" t="s">
        <v>592</v>
      </c>
      <c r="C33" s="3">
        <v>40</v>
      </c>
      <c r="D33" s="4">
        <v>3</v>
      </c>
      <c r="E33" s="112">
        <f>C33*D33</f>
        <v>120</v>
      </c>
      <c r="F33" s="12" t="s">
        <v>55</v>
      </c>
      <c r="G33" s="90" t="s">
        <v>593</v>
      </c>
      <c r="H33" s="25"/>
    </row>
    <row r="34" spans="1:8" ht="15.75" thickBot="1" x14ac:dyDescent="0.3">
      <c r="A34" s="517" t="s">
        <v>5</v>
      </c>
      <c r="B34" s="518"/>
      <c r="C34" s="518"/>
      <c r="D34" s="523"/>
      <c r="E34" s="113">
        <f>SUM(E29:E33)</f>
        <v>3400</v>
      </c>
      <c r="F34" s="12"/>
      <c r="G34" s="93"/>
      <c r="H34" s="25" t="str">
        <f>IF(F34=0," ",VLOOKUP(F34,[19]Sheet1!$A$1:$B$8,2,FALSE))</f>
        <v xml:space="preserve"> </v>
      </c>
    </row>
    <row r="35" spans="1:8" ht="15.75" thickBot="1" x14ac:dyDescent="0.3">
      <c r="A35" s="520" t="s">
        <v>600</v>
      </c>
      <c r="B35" s="521"/>
      <c r="C35" s="521"/>
      <c r="D35" s="521"/>
      <c r="E35" s="521"/>
      <c r="F35" s="521"/>
      <c r="G35" s="522"/>
      <c r="H35" s="37"/>
    </row>
    <row r="36" spans="1:8" ht="57" thickBot="1" x14ac:dyDescent="0.3">
      <c r="A36" s="1" t="s">
        <v>601</v>
      </c>
      <c r="B36" s="2" t="s">
        <v>583</v>
      </c>
      <c r="C36" s="3">
        <v>5</v>
      </c>
      <c r="D36" s="4">
        <v>80</v>
      </c>
      <c r="E36" s="112">
        <f t="shared" ref="E36:E43" si="1">C36*D36</f>
        <v>400</v>
      </c>
      <c r="F36" s="12" t="s">
        <v>51</v>
      </c>
      <c r="G36" s="357" t="s">
        <v>593</v>
      </c>
      <c r="H36" s="25" t="str">
        <f>IF(F36=0," ",VLOOKUP(F36,[19]Sheet1!$A$1:$B$8,2,FALSE))</f>
        <v>If lump sums, include a reference to the defined rules approved by the PO.</v>
      </c>
    </row>
    <row r="37" spans="1:8" ht="57" thickBot="1" x14ac:dyDescent="0.3">
      <c r="A37" s="1" t="s">
        <v>596</v>
      </c>
      <c r="B37" s="2" t="s">
        <v>212</v>
      </c>
      <c r="C37" s="3">
        <v>1</v>
      </c>
      <c r="D37" s="4">
        <f>200+300</f>
        <v>500</v>
      </c>
      <c r="E37" s="112">
        <f t="shared" si="1"/>
        <v>500</v>
      </c>
      <c r="F37" s="12" t="s">
        <v>56</v>
      </c>
      <c r="G37" s="93" t="s">
        <v>602</v>
      </c>
      <c r="H37" s="25"/>
    </row>
    <row r="38" spans="1:8" ht="57" thickBot="1" x14ac:dyDescent="0.3">
      <c r="A38" s="1" t="s">
        <v>603</v>
      </c>
      <c r="B38" s="372" t="s">
        <v>588</v>
      </c>
      <c r="C38" s="3">
        <v>42</v>
      </c>
      <c r="D38" s="4">
        <v>30</v>
      </c>
      <c r="E38" s="112">
        <f t="shared" si="1"/>
        <v>1260</v>
      </c>
      <c r="F38" s="12" t="s">
        <v>56</v>
      </c>
      <c r="G38" s="93" t="s">
        <v>602</v>
      </c>
      <c r="H38" s="25"/>
    </row>
    <row r="39" spans="1:8" ht="57" thickBot="1" x14ac:dyDescent="0.3">
      <c r="A39" s="1" t="s">
        <v>604</v>
      </c>
      <c r="B39" s="2" t="s">
        <v>605</v>
      </c>
      <c r="C39" s="3">
        <v>1</v>
      </c>
      <c r="D39" s="4">
        <f>(4*450+2*175)*2</f>
        <v>4300</v>
      </c>
      <c r="E39" s="112">
        <f t="shared" si="1"/>
        <v>4300</v>
      </c>
      <c r="F39" s="12" t="s">
        <v>56</v>
      </c>
      <c r="G39" s="90" t="s">
        <v>606</v>
      </c>
      <c r="H39" s="25"/>
    </row>
    <row r="40" spans="1:8" ht="57" thickBot="1" x14ac:dyDescent="0.3">
      <c r="A40" s="1" t="s">
        <v>607</v>
      </c>
      <c r="B40" s="2" t="s">
        <v>608</v>
      </c>
      <c r="C40" s="3">
        <v>2</v>
      </c>
      <c r="D40" s="4">
        <v>600</v>
      </c>
      <c r="E40" s="112">
        <f t="shared" si="1"/>
        <v>1200</v>
      </c>
      <c r="F40" s="12" t="s">
        <v>56</v>
      </c>
      <c r="G40" s="93" t="s">
        <v>609</v>
      </c>
      <c r="H40" s="25"/>
    </row>
    <row r="41" spans="1:8" ht="57" thickBot="1" x14ac:dyDescent="0.3">
      <c r="A41" s="1" t="s">
        <v>610</v>
      </c>
      <c r="B41" s="2" t="s">
        <v>66</v>
      </c>
      <c r="C41" s="3">
        <v>7</v>
      </c>
      <c r="D41" s="4">
        <v>45</v>
      </c>
      <c r="E41" s="112">
        <f t="shared" si="1"/>
        <v>315</v>
      </c>
      <c r="F41" s="12" t="s">
        <v>56</v>
      </c>
      <c r="G41" s="93"/>
      <c r="H41" s="25"/>
    </row>
    <row r="42" spans="1:8" ht="57" thickBot="1" x14ac:dyDescent="0.3">
      <c r="A42" s="1" t="s">
        <v>611</v>
      </c>
      <c r="B42" s="2" t="s">
        <v>225</v>
      </c>
      <c r="C42" s="3">
        <v>20</v>
      </c>
      <c r="D42" s="4">
        <v>8</v>
      </c>
      <c r="E42" s="112">
        <f t="shared" si="1"/>
        <v>160</v>
      </c>
      <c r="F42" s="12" t="s">
        <v>56</v>
      </c>
      <c r="G42" s="93"/>
      <c r="H42" s="25"/>
    </row>
    <row r="43" spans="1:8" ht="57" thickBot="1" x14ac:dyDescent="0.3">
      <c r="A43" s="1" t="s">
        <v>591</v>
      </c>
      <c r="B43" s="2" t="s">
        <v>592</v>
      </c>
      <c r="C43" s="3">
        <v>40</v>
      </c>
      <c r="D43" s="4">
        <v>3</v>
      </c>
      <c r="E43" s="4">
        <f t="shared" si="1"/>
        <v>120</v>
      </c>
      <c r="F43" s="12" t="s">
        <v>55</v>
      </c>
      <c r="G43" s="90" t="s">
        <v>593</v>
      </c>
      <c r="H43" s="25">
        <f>IF(F43=0," ",VLOOKUP(F43,[19]Sheet1!$A$1:$B$8,2,FALSE))</f>
        <v>0</v>
      </c>
    </row>
    <row r="44" spans="1:8" ht="45.75" thickBot="1" x14ac:dyDescent="0.3">
      <c r="A44" s="517" t="s">
        <v>6</v>
      </c>
      <c r="B44" s="518"/>
      <c r="C44" s="518"/>
      <c r="D44" s="523"/>
      <c r="E44" s="113">
        <f>SUM(E36:E43)</f>
        <v>8255</v>
      </c>
      <c r="F44" s="12"/>
      <c r="G44" s="373" t="s">
        <v>612</v>
      </c>
      <c r="H44" s="25" t="str">
        <f>IF(F44=0," ",VLOOKUP(F44,[19]Sheet1!$A$1:$B$8,2,FALSE))</f>
        <v xml:space="preserve"> </v>
      </c>
    </row>
    <row r="45" spans="1:8" ht="15.75" thickBot="1" x14ac:dyDescent="0.3">
      <c r="A45" s="520" t="s">
        <v>613</v>
      </c>
      <c r="B45" s="651"/>
      <c r="C45" s="651"/>
      <c r="D45" s="651"/>
      <c r="E45" s="651"/>
      <c r="F45" s="651"/>
      <c r="G45" s="652"/>
      <c r="H45" s="37"/>
    </row>
    <row r="46" spans="1:8" ht="79.5" thickBot="1" x14ac:dyDescent="0.3">
      <c r="A46" s="1" t="s">
        <v>614</v>
      </c>
      <c r="B46" s="2" t="s">
        <v>608</v>
      </c>
      <c r="C46" s="3">
        <v>5</v>
      </c>
      <c r="D46" s="4">
        <v>600</v>
      </c>
      <c r="E46" s="4">
        <f>C46*D46</f>
        <v>3000</v>
      </c>
      <c r="F46" s="12" t="s">
        <v>56</v>
      </c>
      <c r="G46" s="357" t="s">
        <v>615</v>
      </c>
      <c r="H46" s="25" t="str">
        <f>IF(F46=0," ",VLOOKUP(F46,[19]Sheet1!$A$1:$B$8,2,FALSE))</f>
        <v>Awarding should comply with the applicable rules on public procurement  (Regulations Art. 8.15).</v>
      </c>
    </row>
    <row r="47" spans="1:8" ht="57" thickBot="1" x14ac:dyDescent="0.3">
      <c r="A47" s="1" t="s">
        <v>616</v>
      </c>
      <c r="B47" s="2" t="s">
        <v>583</v>
      </c>
      <c r="C47" s="3">
        <v>125</v>
      </c>
      <c r="D47" s="4">
        <v>130</v>
      </c>
      <c r="E47" s="4">
        <f>C47*D47</f>
        <v>16250</v>
      </c>
      <c r="F47" s="12" t="s">
        <v>51</v>
      </c>
      <c r="G47" s="357" t="s">
        <v>593</v>
      </c>
      <c r="H47" s="25"/>
    </row>
    <row r="48" spans="1:8" ht="34.5" thickBot="1" x14ac:dyDescent="0.3">
      <c r="A48" s="1" t="s">
        <v>617</v>
      </c>
      <c r="B48" s="2" t="s">
        <v>212</v>
      </c>
      <c r="C48" s="3">
        <v>125</v>
      </c>
      <c r="D48" s="4">
        <f>0.9*35</f>
        <v>31.5</v>
      </c>
      <c r="E48" s="4">
        <f>C48*D48</f>
        <v>3937.5</v>
      </c>
      <c r="F48" s="12" t="s">
        <v>51</v>
      </c>
      <c r="G48" s="93"/>
      <c r="H48" s="25"/>
    </row>
    <row r="49" spans="1:8" ht="57" thickBot="1" x14ac:dyDescent="0.3">
      <c r="A49" s="1" t="s">
        <v>618</v>
      </c>
      <c r="B49" s="2" t="s">
        <v>619</v>
      </c>
      <c r="C49" s="3">
        <v>5</v>
      </c>
      <c r="D49" s="4">
        <v>1000</v>
      </c>
      <c r="E49" s="4">
        <f>C49*D49</f>
        <v>5000</v>
      </c>
      <c r="F49" s="12" t="s">
        <v>56</v>
      </c>
      <c r="G49" s="93"/>
      <c r="H49" s="25"/>
    </row>
    <row r="50" spans="1:8" ht="45.75" thickBot="1" x14ac:dyDescent="0.3">
      <c r="A50" s="517" t="s">
        <v>123</v>
      </c>
      <c r="B50" s="518"/>
      <c r="C50" s="518"/>
      <c r="D50" s="519"/>
      <c r="E50" s="102">
        <f>SUM(E46:E49)</f>
        <v>28187.5</v>
      </c>
      <c r="F50" s="12"/>
      <c r="G50" s="373" t="s">
        <v>612</v>
      </c>
      <c r="H50" s="104"/>
    </row>
    <row r="51" spans="1:8" ht="15.75" thickBot="1" x14ac:dyDescent="0.3">
      <c r="A51" s="520" t="s">
        <v>620</v>
      </c>
      <c r="B51" s="651"/>
      <c r="C51" s="651"/>
      <c r="D51" s="651"/>
      <c r="E51" s="651"/>
      <c r="F51" s="651"/>
      <c r="G51" s="652"/>
      <c r="H51" s="37"/>
    </row>
    <row r="52" spans="1:8" ht="124.5" thickBot="1" x14ac:dyDescent="0.3">
      <c r="A52" s="1" t="s">
        <v>621</v>
      </c>
      <c r="B52" s="2" t="s">
        <v>583</v>
      </c>
      <c r="C52" s="3">
        <v>330</v>
      </c>
      <c r="D52" s="4">
        <v>80</v>
      </c>
      <c r="E52" s="112">
        <f>C52*D52</f>
        <v>26400</v>
      </c>
      <c r="F52" s="12" t="s">
        <v>51</v>
      </c>
      <c r="G52" s="90" t="s">
        <v>622</v>
      </c>
      <c r="H52" s="25"/>
    </row>
    <row r="53" spans="1:8" ht="57" thickBot="1" x14ac:dyDescent="0.3">
      <c r="A53" s="1" t="s">
        <v>585</v>
      </c>
      <c r="B53" s="2" t="s">
        <v>212</v>
      </c>
      <c r="C53" s="3">
        <v>20</v>
      </c>
      <c r="D53" s="4">
        <v>200</v>
      </c>
      <c r="E53" s="112">
        <f>C53*D53</f>
        <v>4000</v>
      </c>
      <c r="F53" s="12" t="s">
        <v>56</v>
      </c>
      <c r="G53" s="93" t="s">
        <v>586</v>
      </c>
      <c r="H53" s="25"/>
    </row>
    <row r="54" spans="1:8" ht="57" thickBot="1" x14ac:dyDescent="0.3">
      <c r="A54" s="1" t="s">
        <v>623</v>
      </c>
      <c r="B54" s="372" t="s">
        <v>588</v>
      </c>
      <c r="C54" s="3">
        <v>440</v>
      </c>
      <c r="D54" s="4">
        <v>25</v>
      </c>
      <c r="E54" s="112">
        <f>C54*D54</f>
        <v>11000</v>
      </c>
      <c r="F54" s="12" t="s">
        <v>56</v>
      </c>
      <c r="G54" s="93" t="s">
        <v>586</v>
      </c>
      <c r="H54" s="25"/>
    </row>
    <row r="55" spans="1:8" ht="57" thickBot="1" x14ac:dyDescent="0.3">
      <c r="A55" s="1" t="s">
        <v>589</v>
      </c>
      <c r="B55" s="2" t="s">
        <v>66</v>
      </c>
      <c r="C55" s="3">
        <v>108</v>
      </c>
      <c r="D55" s="4">
        <v>51</v>
      </c>
      <c r="E55" s="112">
        <f>C55*D55</f>
        <v>5508</v>
      </c>
      <c r="F55" s="12" t="s">
        <v>56</v>
      </c>
      <c r="G55" s="90" t="s">
        <v>624</v>
      </c>
      <c r="H55" s="25"/>
    </row>
    <row r="56" spans="1:8" ht="57" thickBot="1" x14ac:dyDescent="0.3">
      <c r="A56" s="1" t="s">
        <v>591</v>
      </c>
      <c r="B56" s="2" t="s">
        <v>592</v>
      </c>
      <c r="C56" s="3">
        <v>80</v>
      </c>
      <c r="D56" s="4">
        <v>3.5</v>
      </c>
      <c r="E56" s="112">
        <f>C56*D56</f>
        <v>280</v>
      </c>
      <c r="F56" s="12" t="s">
        <v>55</v>
      </c>
      <c r="G56" s="90" t="s">
        <v>593</v>
      </c>
      <c r="H56" s="25"/>
    </row>
    <row r="57" spans="1:8" ht="15.75" thickBot="1" x14ac:dyDescent="0.3">
      <c r="A57" s="517" t="s">
        <v>625</v>
      </c>
      <c r="B57" s="518"/>
      <c r="C57" s="518"/>
      <c r="D57" s="519"/>
      <c r="E57" s="113">
        <f>SUM(E52:E56)</f>
        <v>47188</v>
      </c>
      <c r="F57" s="12"/>
      <c r="G57" s="93"/>
      <c r="H57" s="104"/>
    </row>
    <row r="58" spans="1:8" ht="15.75" thickBot="1" x14ac:dyDescent="0.3">
      <c r="A58" s="520" t="s">
        <v>626</v>
      </c>
      <c r="B58" s="651"/>
      <c r="C58" s="651"/>
      <c r="D58" s="651"/>
      <c r="E58" s="651"/>
      <c r="F58" s="651"/>
      <c r="G58" s="310"/>
      <c r="H58" s="37"/>
    </row>
    <row r="59" spans="1:8" ht="57" thickBot="1" x14ac:dyDescent="0.3">
      <c r="A59" s="1" t="s">
        <v>627</v>
      </c>
      <c r="B59" s="2" t="s">
        <v>583</v>
      </c>
      <c r="C59" s="3">
        <v>10</v>
      </c>
      <c r="D59" s="4">
        <v>80</v>
      </c>
      <c r="E59" s="112">
        <f>C59*D59</f>
        <v>800</v>
      </c>
      <c r="F59" s="12" t="s">
        <v>51</v>
      </c>
      <c r="G59" s="357" t="s">
        <v>593</v>
      </c>
      <c r="H59" s="25"/>
    </row>
    <row r="60" spans="1:8" ht="57" thickBot="1" x14ac:dyDescent="0.3">
      <c r="A60" s="1" t="s">
        <v>628</v>
      </c>
      <c r="B60" s="2" t="s">
        <v>212</v>
      </c>
      <c r="C60" s="3">
        <v>2</v>
      </c>
      <c r="D60" s="4">
        <v>200</v>
      </c>
      <c r="E60" s="112">
        <f>C60*D60</f>
        <v>400</v>
      </c>
      <c r="F60" s="12" t="s">
        <v>56</v>
      </c>
      <c r="G60" s="93"/>
      <c r="H60" s="25"/>
    </row>
    <row r="61" spans="1:8" ht="57" thickBot="1" x14ac:dyDescent="0.3">
      <c r="A61" s="1" t="s">
        <v>629</v>
      </c>
      <c r="B61" s="372" t="s">
        <v>588</v>
      </c>
      <c r="C61" s="3">
        <v>60</v>
      </c>
      <c r="D61" s="4">
        <v>25</v>
      </c>
      <c r="E61" s="112">
        <f>C61*D61</f>
        <v>1500</v>
      </c>
      <c r="F61" s="12" t="s">
        <v>56</v>
      </c>
      <c r="G61" s="93"/>
      <c r="H61" s="25"/>
    </row>
    <row r="62" spans="1:8" ht="57" thickBot="1" x14ac:dyDescent="0.3">
      <c r="A62" s="1" t="s">
        <v>630</v>
      </c>
      <c r="B62" s="2" t="s">
        <v>592</v>
      </c>
      <c r="C62" s="3">
        <v>60</v>
      </c>
      <c r="D62" s="4">
        <v>3</v>
      </c>
      <c r="E62" s="112">
        <f>C62*D62</f>
        <v>180</v>
      </c>
      <c r="F62" s="12" t="s">
        <v>55</v>
      </c>
      <c r="G62" s="90" t="s">
        <v>593</v>
      </c>
      <c r="H62" s="25"/>
    </row>
    <row r="63" spans="1:8" ht="15.75" thickBot="1" x14ac:dyDescent="0.3">
      <c r="A63" s="517" t="s">
        <v>631</v>
      </c>
      <c r="B63" s="518"/>
      <c r="C63" s="518"/>
      <c r="D63" s="519"/>
      <c r="E63" s="113">
        <f>SUM(E59:E62)</f>
        <v>2880</v>
      </c>
      <c r="F63" s="12"/>
      <c r="G63" s="93"/>
      <c r="H63" s="104"/>
    </row>
    <row r="64" spans="1:8" ht="15.75" thickBot="1" x14ac:dyDescent="0.3">
      <c r="A64" s="520" t="s">
        <v>632</v>
      </c>
      <c r="B64" s="651"/>
      <c r="C64" s="651"/>
      <c r="D64" s="651"/>
      <c r="E64" s="651"/>
      <c r="F64" s="651"/>
      <c r="G64" s="310"/>
      <c r="H64" s="37"/>
    </row>
    <row r="65" spans="1:8" ht="57" thickBot="1" x14ac:dyDescent="0.3">
      <c r="A65" s="1" t="s">
        <v>633</v>
      </c>
      <c r="B65" s="2" t="s">
        <v>583</v>
      </c>
      <c r="C65" s="3">
        <v>10</v>
      </c>
      <c r="D65" s="4">
        <v>80</v>
      </c>
      <c r="E65" s="112">
        <f t="shared" ref="E65:E72" si="2">C65*D65</f>
        <v>800</v>
      </c>
      <c r="F65" s="12" t="s">
        <v>51</v>
      </c>
      <c r="G65" s="357" t="s">
        <v>593</v>
      </c>
      <c r="H65" s="25"/>
    </row>
    <row r="66" spans="1:8" ht="57" thickBot="1" x14ac:dyDescent="0.3">
      <c r="A66" s="1" t="s">
        <v>634</v>
      </c>
      <c r="B66" s="2" t="s">
        <v>212</v>
      </c>
      <c r="C66" s="3">
        <v>2</v>
      </c>
      <c r="D66" s="4">
        <f>200+300</f>
        <v>500</v>
      </c>
      <c r="E66" s="112">
        <f t="shared" si="2"/>
        <v>1000</v>
      </c>
      <c r="F66" s="12" t="s">
        <v>56</v>
      </c>
      <c r="G66" s="93" t="s">
        <v>602</v>
      </c>
      <c r="H66" s="25"/>
    </row>
    <row r="67" spans="1:8" ht="57" thickBot="1" x14ac:dyDescent="0.3">
      <c r="A67" s="1" t="s">
        <v>635</v>
      </c>
      <c r="B67" s="372" t="s">
        <v>588</v>
      </c>
      <c r="C67" s="3">
        <v>64</v>
      </c>
      <c r="D67" s="4">
        <v>30</v>
      </c>
      <c r="E67" s="112">
        <f t="shared" si="2"/>
        <v>1920</v>
      </c>
      <c r="F67" s="12" t="s">
        <v>56</v>
      </c>
      <c r="G67" s="93" t="s">
        <v>602</v>
      </c>
      <c r="H67" s="25"/>
    </row>
    <row r="68" spans="1:8" ht="57" thickBot="1" x14ac:dyDescent="0.3">
      <c r="A68" s="1" t="s">
        <v>636</v>
      </c>
      <c r="B68" s="372" t="s">
        <v>637</v>
      </c>
      <c r="C68" s="3">
        <v>2</v>
      </c>
      <c r="D68" s="4">
        <f>(3*450+1.5*175)*2</f>
        <v>3225</v>
      </c>
      <c r="E68" s="112">
        <f t="shared" si="2"/>
        <v>6450</v>
      </c>
      <c r="F68" s="12" t="s">
        <v>56</v>
      </c>
      <c r="G68" s="90" t="s">
        <v>606</v>
      </c>
      <c r="H68" s="25"/>
    </row>
    <row r="69" spans="1:8" ht="57" thickBot="1" x14ac:dyDescent="0.3">
      <c r="A69" s="74" t="s">
        <v>607</v>
      </c>
      <c r="B69" s="108" t="s">
        <v>608</v>
      </c>
      <c r="C69" s="3">
        <v>2</v>
      </c>
      <c r="D69" s="4">
        <v>600</v>
      </c>
      <c r="E69" s="112">
        <f t="shared" si="2"/>
        <v>1200</v>
      </c>
      <c r="F69" s="12" t="s">
        <v>56</v>
      </c>
      <c r="G69" s="93"/>
      <c r="H69" s="25"/>
    </row>
    <row r="70" spans="1:8" ht="57" thickBot="1" x14ac:dyDescent="0.3">
      <c r="A70" s="1" t="s">
        <v>638</v>
      </c>
      <c r="B70" s="2" t="s">
        <v>66</v>
      </c>
      <c r="C70" s="3">
        <v>14</v>
      </c>
      <c r="D70" s="4">
        <v>45</v>
      </c>
      <c r="E70" s="112">
        <f t="shared" si="2"/>
        <v>630</v>
      </c>
      <c r="F70" s="12" t="s">
        <v>56</v>
      </c>
      <c r="G70" s="93"/>
      <c r="H70" s="25"/>
    </row>
    <row r="71" spans="1:8" ht="57" thickBot="1" x14ac:dyDescent="0.3">
      <c r="A71" s="1" t="s">
        <v>611</v>
      </c>
      <c r="B71" s="2" t="s">
        <v>225</v>
      </c>
      <c r="C71" s="3">
        <v>20</v>
      </c>
      <c r="D71" s="4">
        <v>8</v>
      </c>
      <c r="E71" s="112">
        <f t="shared" si="2"/>
        <v>160</v>
      </c>
      <c r="F71" s="12" t="s">
        <v>56</v>
      </c>
      <c r="G71" s="93"/>
      <c r="H71" s="25"/>
    </row>
    <row r="72" spans="1:8" ht="57" thickBot="1" x14ac:dyDescent="0.3">
      <c r="A72" s="1" t="s">
        <v>591</v>
      </c>
      <c r="B72" s="2" t="s">
        <v>592</v>
      </c>
      <c r="C72" s="3">
        <v>30</v>
      </c>
      <c r="D72" s="4">
        <v>3</v>
      </c>
      <c r="E72" s="4">
        <f t="shared" si="2"/>
        <v>90</v>
      </c>
      <c r="F72" s="12" t="s">
        <v>55</v>
      </c>
      <c r="G72" s="90" t="s">
        <v>593</v>
      </c>
      <c r="H72" s="25"/>
    </row>
    <row r="73" spans="1:8" ht="15.75" thickBot="1" x14ac:dyDescent="0.3">
      <c r="A73" s="517" t="s">
        <v>500</v>
      </c>
      <c r="B73" s="518"/>
      <c r="C73" s="518"/>
      <c r="D73" s="519"/>
      <c r="E73" s="113">
        <f>SUM(E65:E72)</f>
        <v>12250</v>
      </c>
      <c r="F73" s="12"/>
      <c r="G73" s="93"/>
      <c r="H73" s="104"/>
    </row>
    <row r="74" spans="1:8" ht="15.75" thickBot="1" x14ac:dyDescent="0.3">
      <c r="A74" s="520" t="s">
        <v>639</v>
      </c>
      <c r="B74" s="651"/>
      <c r="C74" s="651"/>
      <c r="D74" s="651"/>
      <c r="E74" s="651"/>
      <c r="F74" s="651"/>
      <c r="G74" s="310"/>
      <c r="H74" s="37"/>
    </row>
    <row r="75" spans="1:8" ht="79.5" thickBot="1" x14ac:dyDescent="0.3">
      <c r="A75" s="1" t="s">
        <v>640</v>
      </c>
      <c r="B75" s="2" t="s">
        <v>608</v>
      </c>
      <c r="C75" s="3">
        <v>10</v>
      </c>
      <c r="D75" s="4">
        <v>600</v>
      </c>
      <c r="E75" s="4">
        <f>C75*D75</f>
        <v>6000</v>
      </c>
      <c r="F75" s="12" t="s">
        <v>51</v>
      </c>
      <c r="G75" s="357" t="s">
        <v>615</v>
      </c>
      <c r="H75" s="25"/>
    </row>
    <row r="76" spans="1:8" ht="57" thickBot="1" x14ac:dyDescent="0.3">
      <c r="A76" s="1" t="s">
        <v>641</v>
      </c>
      <c r="B76" s="2" t="s">
        <v>583</v>
      </c>
      <c r="C76" s="3">
        <v>30</v>
      </c>
      <c r="D76" s="4">
        <v>130</v>
      </c>
      <c r="E76" s="4">
        <f>C76*D76</f>
        <v>3900</v>
      </c>
      <c r="F76" s="12" t="s">
        <v>51</v>
      </c>
      <c r="G76" s="357" t="s">
        <v>593</v>
      </c>
      <c r="H76" s="25"/>
    </row>
    <row r="77" spans="1:8" ht="34.5" thickBot="1" x14ac:dyDescent="0.3">
      <c r="A77" s="1" t="s">
        <v>642</v>
      </c>
      <c r="B77" s="2" t="s">
        <v>212</v>
      </c>
      <c r="C77" s="3">
        <v>40</v>
      </c>
      <c r="D77" s="4">
        <v>35</v>
      </c>
      <c r="E77" s="4">
        <f>C77*D77</f>
        <v>1400</v>
      </c>
      <c r="F77" s="12" t="s">
        <v>51</v>
      </c>
      <c r="G77" s="93"/>
      <c r="H77" s="25"/>
    </row>
    <row r="78" spans="1:8" ht="15.75" thickBot="1" x14ac:dyDescent="0.3">
      <c r="A78" s="517" t="s">
        <v>643</v>
      </c>
      <c r="B78" s="518"/>
      <c r="C78" s="518"/>
      <c r="D78" s="519"/>
      <c r="E78" s="102">
        <f>SUM(E75:E77)</f>
        <v>11300</v>
      </c>
      <c r="F78" s="12"/>
      <c r="G78" s="93"/>
      <c r="H78" s="104"/>
    </row>
    <row r="79" spans="1:8" ht="15.75" thickBot="1" x14ac:dyDescent="0.3">
      <c r="A79" s="520" t="s">
        <v>644</v>
      </c>
      <c r="B79" s="651"/>
      <c r="C79" s="651"/>
      <c r="D79" s="651"/>
      <c r="E79" s="651"/>
      <c r="F79" s="651"/>
      <c r="G79" s="652"/>
      <c r="H79" s="37"/>
    </row>
    <row r="80" spans="1:8" ht="57" thickBot="1" x14ac:dyDescent="0.3">
      <c r="A80" s="74" t="s">
        <v>645</v>
      </c>
      <c r="B80" s="2" t="s">
        <v>583</v>
      </c>
      <c r="C80" s="3">
        <v>14</v>
      </c>
      <c r="D80" s="4">
        <v>80</v>
      </c>
      <c r="E80" s="112">
        <f t="shared" ref="E80:E85" si="3">C80*D80</f>
        <v>1120</v>
      </c>
      <c r="F80" s="12" t="s">
        <v>56</v>
      </c>
      <c r="G80" s="93"/>
      <c r="H80" s="212"/>
    </row>
    <row r="81" spans="1:8" ht="57" thickBot="1" x14ac:dyDescent="0.3">
      <c r="A81" s="74" t="s">
        <v>646</v>
      </c>
      <c r="B81" s="2" t="s">
        <v>608</v>
      </c>
      <c r="C81" s="3">
        <v>14</v>
      </c>
      <c r="D81" s="4">
        <v>350</v>
      </c>
      <c r="E81" s="112">
        <f t="shared" si="3"/>
        <v>4900</v>
      </c>
      <c r="F81" s="12" t="s">
        <v>56</v>
      </c>
      <c r="G81" s="93" t="s">
        <v>609</v>
      </c>
      <c r="H81" s="212"/>
    </row>
    <row r="82" spans="1:8" ht="34.5" thickBot="1" x14ac:dyDescent="0.3">
      <c r="A82" s="74" t="s">
        <v>627</v>
      </c>
      <c r="B82" s="2" t="s">
        <v>583</v>
      </c>
      <c r="C82" s="3">
        <v>10</v>
      </c>
      <c r="D82" s="4">
        <v>80</v>
      </c>
      <c r="E82" s="112">
        <f t="shared" si="3"/>
        <v>800</v>
      </c>
      <c r="F82" s="12" t="s">
        <v>51</v>
      </c>
      <c r="G82" s="93"/>
      <c r="H82" s="25"/>
    </row>
    <row r="83" spans="1:8" ht="57" thickBot="1" x14ac:dyDescent="0.3">
      <c r="A83" s="1" t="s">
        <v>647</v>
      </c>
      <c r="B83" s="2" t="s">
        <v>212</v>
      </c>
      <c r="C83" s="3">
        <v>2</v>
      </c>
      <c r="D83" s="4">
        <v>200</v>
      </c>
      <c r="E83" s="112">
        <f t="shared" si="3"/>
        <v>400</v>
      </c>
      <c r="F83" s="12" t="s">
        <v>56</v>
      </c>
      <c r="G83" s="93"/>
      <c r="H83" s="25"/>
    </row>
    <row r="84" spans="1:8" ht="57" thickBot="1" x14ac:dyDescent="0.3">
      <c r="A84" s="1" t="s">
        <v>648</v>
      </c>
      <c r="B84" s="372" t="s">
        <v>588</v>
      </c>
      <c r="C84" s="3">
        <v>60</v>
      </c>
      <c r="D84" s="4">
        <v>30</v>
      </c>
      <c r="E84" s="112">
        <f t="shared" si="3"/>
        <v>1800</v>
      </c>
      <c r="F84" s="12" t="s">
        <v>56</v>
      </c>
      <c r="G84" s="93"/>
      <c r="H84" s="25"/>
    </row>
    <row r="85" spans="1:8" ht="57" thickBot="1" x14ac:dyDescent="0.3">
      <c r="A85" s="1" t="s">
        <v>649</v>
      </c>
      <c r="B85" s="2" t="s">
        <v>592</v>
      </c>
      <c r="C85" s="3">
        <v>60</v>
      </c>
      <c r="D85" s="4">
        <v>3</v>
      </c>
      <c r="E85" s="112">
        <f t="shared" si="3"/>
        <v>180</v>
      </c>
      <c r="F85" s="12" t="s">
        <v>55</v>
      </c>
      <c r="G85" s="90" t="s">
        <v>593</v>
      </c>
      <c r="H85" s="25"/>
    </row>
    <row r="86" spans="1:8" ht="15.75" thickBot="1" x14ac:dyDescent="0.3">
      <c r="A86" s="517" t="s">
        <v>650</v>
      </c>
      <c r="B86" s="518"/>
      <c r="C86" s="518"/>
      <c r="D86" s="519"/>
      <c r="E86" s="113">
        <f>SUM(E80:E85)</f>
        <v>9200</v>
      </c>
      <c r="F86" s="12"/>
      <c r="G86" s="93"/>
      <c r="H86" s="104"/>
    </row>
    <row r="87" spans="1:8" ht="15.75" thickBot="1" x14ac:dyDescent="0.3">
      <c r="A87" s="308" t="s">
        <v>651</v>
      </c>
      <c r="B87" s="309"/>
      <c r="C87" s="309"/>
      <c r="D87" s="309"/>
      <c r="E87" s="309"/>
      <c r="F87" s="309"/>
      <c r="G87" s="310"/>
      <c r="H87" s="37"/>
    </row>
    <row r="88" spans="1:8" ht="57" thickBot="1" x14ac:dyDescent="0.3">
      <c r="A88" s="1" t="s">
        <v>652</v>
      </c>
      <c r="B88" s="2" t="s">
        <v>653</v>
      </c>
      <c r="C88" s="3">
        <v>60</v>
      </c>
      <c r="D88" s="4">
        <v>650</v>
      </c>
      <c r="E88" s="112">
        <f>C88*D88</f>
        <v>39000</v>
      </c>
      <c r="F88" s="12" t="s">
        <v>56</v>
      </c>
      <c r="G88" s="93"/>
      <c r="H88" s="25"/>
    </row>
    <row r="89" spans="1:8" ht="15.75" thickBot="1" x14ac:dyDescent="0.3">
      <c r="A89" s="517" t="s">
        <v>654</v>
      </c>
      <c r="B89" s="518"/>
      <c r="C89" s="518"/>
      <c r="D89" s="519"/>
      <c r="E89" s="113">
        <f>SUM(E88)</f>
        <v>39000</v>
      </c>
      <c r="F89" s="12"/>
      <c r="G89" s="93"/>
      <c r="H89" s="104"/>
    </row>
    <row r="90" spans="1:8" ht="15.75" thickBot="1" x14ac:dyDescent="0.3">
      <c r="A90" s="308" t="s">
        <v>655</v>
      </c>
      <c r="B90" s="309"/>
      <c r="C90" s="309"/>
      <c r="D90" s="309"/>
      <c r="E90" s="309"/>
      <c r="F90" s="309"/>
      <c r="G90" s="310"/>
      <c r="H90" s="37"/>
    </row>
    <row r="91" spans="1:8" ht="57" thickBot="1" x14ac:dyDescent="0.3">
      <c r="A91" s="1" t="s">
        <v>656</v>
      </c>
      <c r="B91" s="2" t="s">
        <v>653</v>
      </c>
      <c r="C91" s="3">
        <v>55</v>
      </c>
      <c r="D91" s="4">
        <v>125</v>
      </c>
      <c r="E91" s="112">
        <f>C91*D91</f>
        <v>6875</v>
      </c>
      <c r="F91" s="12" t="s">
        <v>56</v>
      </c>
      <c r="G91" s="93"/>
      <c r="H91" s="25"/>
    </row>
    <row r="92" spans="1:8" ht="15.75" thickBot="1" x14ac:dyDescent="0.3">
      <c r="A92" s="517" t="s">
        <v>657</v>
      </c>
      <c r="B92" s="518"/>
      <c r="C92" s="518"/>
      <c r="D92" s="519"/>
      <c r="E92" s="113">
        <f>SUM(E91)</f>
        <v>6875</v>
      </c>
      <c r="F92" s="12"/>
      <c r="G92" s="93"/>
      <c r="H92" s="104"/>
    </row>
    <row r="93" spans="1:8" ht="68.25" thickBot="1" x14ac:dyDescent="0.3">
      <c r="A93" s="308" t="s">
        <v>658</v>
      </c>
      <c r="B93" s="309"/>
      <c r="C93" s="309"/>
      <c r="D93" s="309"/>
      <c r="E93" s="309"/>
      <c r="F93" s="309"/>
      <c r="G93" s="374" t="s">
        <v>659</v>
      </c>
      <c r="H93" s="37"/>
    </row>
    <row r="94" spans="1:8" ht="57" thickBot="1" x14ac:dyDescent="0.3">
      <c r="A94" s="1" t="s">
        <v>660</v>
      </c>
      <c r="B94" s="372" t="s">
        <v>661</v>
      </c>
      <c r="C94" s="3">
        <v>1</v>
      </c>
      <c r="D94" s="4">
        <v>40000</v>
      </c>
      <c r="E94" s="112">
        <f t="shared" ref="E94:E99" si="4">C94*D94</f>
        <v>40000</v>
      </c>
      <c r="F94" s="12" t="s">
        <v>56</v>
      </c>
      <c r="G94" s="93"/>
      <c r="H94" s="25"/>
    </row>
    <row r="95" spans="1:8" ht="57" thickBot="1" x14ac:dyDescent="0.3">
      <c r="A95" s="1" t="s">
        <v>662</v>
      </c>
      <c r="B95" s="372" t="s">
        <v>663</v>
      </c>
      <c r="C95" s="3">
        <v>1</v>
      </c>
      <c r="D95" s="4">
        <v>96000</v>
      </c>
      <c r="E95" s="112">
        <f t="shared" si="4"/>
        <v>96000</v>
      </c>
      <c r="F95" s="12" t="s">
        <v>56</v>
      </c>
      <c r="G95" s="93"/>
      <c r="H95" s="25"/>
    </row>
    <row r="96" spans="1:8" ht="57" thickBot="1" x14ac:dyDescent="0.3">
      <c r="A96" s="1" t="s">
        <v>664</v>
      </c>
      <c r="B96" s="2" t="s">
        <v>665</v>
      </c>
      <c r="C96" s="3">
        <v>1</v>
      </c>
      <c r="D96" s="4">
        <v>10000</v>
      </c>
      <c r="E96" s="112">
        <f t="shared" si="4"/>
        <v>10000</v>
      </c>
      <c r="F96" s="12" t="s">
        <v>56</v>
      </c>
      <c r="G96" s="93"/>
      <c r="H96" s="25"/>
    </row>
    <row r="97" spans="1:8" ht="57" thickBot="1" x14ac:dyDescent="0.3">
      <c r="A97" s="1" t="s">
        <v>666</v>
      </c>
      <c r="B97" s="2" t="s">
        <v>667</v>
      </c>
      <c r="C97" s="3">
        <v>1</v>
      </c>
      <c r="D97" s="4">
        <v>42000</v>
      </c>
      <c r="E97" s="112">
        <f t="shared" si="4"/>
        <v>42000</v>
      </c>
      <c r="F97" s="12" t="s">
        <v>56</v>
      </c>
      <c r="G97" s="93"/>
      <c r="H97" s="25"/>
    </row>
    <row r="98" spans="1:8" ht="57" thickBot="1" x14ac:dyDescent="0.3">
      <c r="A98" s="1" t="s">
        <v>668</v>
      </c>
      <c r="B98" s="2" t="s">
        <v>667</v>
      </c>
      <c r="C98" s="3">
        <v>1</v>
      </c>
      <c r="D98" s="4">
        <v>100000</v>
      </c>
      <c r="E98" s="112">
        <f t="shared" si="4"/>
        <v>100000</v>
      </c>
      <c r="F98" s="12" t="s">
        <v>56</v>
      </c>
      <c r="G98" s="93"/>
      <c r="H98" s="25"/>
    </row>
    <row r="99" spans="1:8" ht="57" thickBot="1" x14ac:dyDescent="0.3">
      <c r="A99" s="1" t="s">
        <v>669</v>
      </c>
      <c r="B99" s="2" t="s">
        <v>667</v>
      </c>
      <c r="C99" s="3">
        <v>1</v>
      </c>
      <c r="D99" s="4">
        <v>28000</v>
      </c>
      <c r="E99" s="112">
        <f t="shared" si="4"/>
        <v>28000</v>
      </c>
      <c r="F99" s="12" t="s">
        <v>56</v>
      </c>
      <c r="G99" s="93"/>
      <c r="H99" s="25"/>
    </row>
    <row r="100" spans="1:8" ht="57" thickBot="1" x14ac:dyDescent="0.3">
      <c r="A100" s="1" t="s">
        <v>670</v>
      </c>
      <c r="B100" s="2" t="s">
        <v>667</v>
      </c>
      <c r="C100" s="3">
        <v>1</v>
      </c>
      <c r="D100" s="4">
        <v>45000</v>
      </c>
      <c r="E100" s="4">
        <v>37548.54</v>
      </c>
      <c r="F100" s="12" t="s">
        <v>56</v>
      </c>
      <c r="G100" s="93"/>
      <c r="H100" s="25"/>
    </row>
    <row r="101" spans="1:8" ht="15.75" thickBot="1" x14ac:dyDescent="0.3">
      <c r="A101" s="517" t="s">
        <v>671</v>
      </c>
      <c r="B101" s="518"/>
      <c r="C101" s="518"/>
      <c r="D101" s="519"/>
      <c r="E101" s="113">
        <f>SUM(E94:E100)</f>
        <v>353548.54</v>
      </c>
      <c r="F101" s="12"/>
      <c r="G101" s="93"/>
      <c r="H101" s="104"/>
    </row>
    <row r="102" spans="1:8" ht="15.75" thickBot="1" x14ac:dyDescent="0.3">
      <c r="A102" s="308" t="s">
        <v>672</v>
      </c>
      <c r="B102" s="309"/>
      <c r="C102" s="309"/>
      <c r="D102" s="309"/>
      <c r="E102" s="309"/>
      <c r="F102" s="309"/>
      <c r="G102" s="310"/>
      <c r="H102" s="37"/>
    </row>
    <row r="103" spans="1:8" ht="15.75" thickBot="1" x14ac:dyDescent="0.3">
      <c r="A103" s="1"/>
      <c r="B103" s="2"/>
      <c r="C103" s="3"/>
      <c r="D103" s="4"/>
      <c r="E103" s="4"/>
      <c r="F103" s="12"/>
      <c r="G103" s="93"/>
      <c r="H103" s="25"/>
    </row>
    <row r="104" spans="1:8" ht="15.75" thickBot="1" x14ac:dyDescent="0.3">
      <c r="A104" s="517" t="s">
        <v>673</v>
      </c>
      <c r="B104" s="518"/>
      <c r="C104" s="518"/>
      <c r="D104" s="519"/>
      <c r="E104" s="102"/>
      <c r="F104" s="12"/>
      <c r="G104" s="93"/>
      <c r="H104" s="104"/>
    </row>
    <row r="105" spans="1:8" ht="15.75" thickBot="1" x14ac:dyDescent="0.3">
      <c r="A105" s="526" t="s">
        <v>11</v>
      </c>
      <c r="B105" s="527"/>
      <c r="C105" s="527"/>
      <c r="D105" s="528"/>
      <c r="E105" s="375">
        <f>SUM(E20,E27,E34,E44,E50,E57,E63,E73,E78,E86,E89,E92,E101,E104)</f>
        <v>599999.99580909521</v>
      </c>
      <c r="F105" s="93"/>
      <c r="G105" s="93"/>
      <c r="H105" s="38"/>
    </row>
    <row r="106" spans="1:8" ht="15.75" thickBot="1" x14ac:dyDescent="0.3">
      <c r="A106" s="532" t="s">
        <v>12</v>
      </c>
      <c r="B106" s="533"/>
      <c r="C106" s="533"/>
      <c r="D106" s="533"/>
      <c r="E106" s="533"/>
      <c r="F106" s="533"/>
      <c r="G106" s="534"/>
      <c r="H106" s="39"/>
    </row>
    <row r="107" spans="1:8" ht="23.25" thickBot="1" x14ac:dyDescent="0.3">
      <c r="A107" s="526" t="s">
        <v>13</v>
      </c>
      <c r="B107" s="527"/>
      <c r="C107" s="527"/>
      <c r="D107" s="528"/>
      <c r="E107" s="6">
        <v>0</v>
      </c>
      <c r="F107" s="93"/>
      <c r="G107" s="93"/>
      <c r="H107" s="40" t="s">
        <v>40</v>
      </c>
    </row>
    <row r="108" spans="1:8" ht="15.75" thickBot="1" x14ac:dyDescent="0.3">
      <c r="A108" s="529" t="s">
        <v>22</v>
      </c>
      <c r="B108" s="530"/>
      <c r="C108" s="530"/>
      <c r="D108" s="531"/>
      <c r="E108" s="376">
        <f>SUM(E105,E107)</f>
        <v>599999.99580909521</v>
      </c>
      <c r="F108" s="93"/>
      <c r="G108" s="93"/>
      <c r="H108" s="41"/>
    </row>
    <row r="109" spans="1:8" ht="15.75" thickBot="1" x14ac:dyDescent="0.3">
      <c r="A109" s="363"/>
      <c r="B109" s="363"/>
      <c r="C109" s="363"/>
      <c r="D109" s="363"/>
      <c r="E109" s="363"/>
      <c r="F109" s="363"/>
      <c r="G109" s="363"/>
      <c r="H109" s="364"/>
    </row>
    <row r="110" spans="1:8" ht="15.75" thickBot="1" x14ac:dyDescent="0.3">
      <c r="A110" s="486" t="s">
        <v>19</v>
      </c>
      <c r="B110" s="486"/>
      <c r="C110" s="486"/>
      <c r="D110" s="486"/>
      <c r="E110" s="377">
        <f>SUM(E20)</f>
        <v>35924.955809095292</v>
      </c>
      <c r="F110" s="363"/>
      <c r="G110" s="363"/>
      <c r="H110" s="364"/>
    </row>
    <row r="111" spans="1:8" ht="15.75" thickBot="1" x14ac:dyDescent="0.3">
      <c r="A111" s="486" t="s">
        <v>20</v>
      </c>
      <c r="B111" s="486"/>
      <c r="C111" s="486"/>
      <c r="D111" s="486"/>
      <c r="E111" s="378">
        <f>SUM(E101,E92,E89,E86,E78,E73,E63,E57,E50,E44,E34,E27)</f>
        <v>564075.04</v>
      </c>
      <c r="F111" s="363"/>
      <c r="G111" s="363"/>
      <c r="H111" s="364"/>
    </row>
    <row r="112" spans="1:8" x14ac:dyDescent="0.25">
      <c r="A112" s="363"/>
      <c r="B112" s="363"/>
      <c r="C112" s="363"/>
      <c r="D112" s="363"/>
      <c r="E112" s="363"/>
      <c r="F112" s="363"/>
      <c r="G112" s="363"/>
      <c r="H112" s="364"/>
    </row>
    <row r="113" spans="1:8" ht="15.75" thickBot="1" x14ac:dyDescent="0.3">
      <c r="A113" s="363"/>
      <c r="B113" s="363"/>
      <c r="C113" s="363"/>
      <c r="D113" s="363"/>
      <c r="E113" s="363"/>
      <c r="F113" s="363"/>
      <c r="G113" s="363"/>
      <c r="H113" s="364"/>
    </row>
    <row r="114" spans="1:8" ht="23.25" thickBot="1" x14ac:dyDescent="0.3">
      <c r="A114" s="21" t="s">
        <v>35</v>
      </c>
      <c r="B114" s="19" t="s">
        <v>27</v>
      </c>
      <c r="C114" s="19" t="s">
        <v>28</v>
      </c>
      <c r="D114" s="19" t="s">
        <v>29</v>
      </c>
      <c r="E114" s="19" t="s">
        <v>30</v>
      </c>
      <c r="F114" s="19" t="s">
        <v>674</v>
      </c>
      <c r="G114" s="19" t="s">
        <v>25</v>
      </c>
      <c r="H114" s="42" t="s">
        <v>26</v>
      </c>
    </row>
    <row r="115" spans="1:8" ht="15.75" thickBot="1" x14ac:dyDescent="0.3">
      <c r="A115" s="308" t="s">
        <v>50</v>
      </c>
      <c r="B115" s="124">
        <f>SUM(E14:E17)</f>
        <v>28924.955809095289</v>
      </c>
      <c r="C115" s="2"/>
      <c r="D115" s="3"/>
      <c r="E115" s="4"/>
      <c r="F115" s="4"/>
      <c r="G115" s="127">
        <f>SUM(B115:F115)</f>
        <v>28924.955809095289</v>
      </c>
      <c r="H115" s="379">
        <f>G115/$E$108</f>
        <v>4.820826001855253E-2</v>
      </c>
    </row>
    <row r="116" spans="1:8" ht="23.25" thickBot="1" x14ac:dyDescent="0.3">
      <c r="A116" s="308" t="s">
        <v>51</v>
      </c>
      <c r="B116" s="1"/>
      <c r="C116" s="2"/>
      <c r="D116" s="3"/>
      <c r="E116" s="4"/>
      <c r="F116" s="112">
        <f>SUM(E22,E29,E36,E47,E48,E52,E59,E65,E75:E77,E82)</f>
        <v>87887.5</v>
      </c>
      <c r="G116" s="127">
        <f t="shared" ref="G116:G124" si="5">SUM(B116:F116)</f>
        <v>87887.5</v>
      </c>
      <c r="H116" s="379">
        <f t="shared" ref="H116:H123" si="6">G116/$E$108</f>
        <v>0.1464791676898004</v>
      </c>
    </row>
    <row r="117" spans="1:8" ht="23.25" thickBot="1" x14ac:dyDescent="0.3">
      <c r="A117" s="308" t="s">
        <v>52</v>
      </c>
      <c r="B117" s="1"/>
      <c r="C117" s="2"/>
      <c r="D117" s="3"/>
      <c r="E117" s="4"/>
      <c r="F117" s="4"/>
      <c r="G117" s="127">
        <f t="shared" si="5"/>
        <v>0</v>
      </c>
      <c r="H117" s="379">
        <f t="shared" si="6"/>
        <v>0</v>
      </c>
    </row>
    <row r="118" spans="1:8" ht="23.25" thickBot="1" x14ac:dyDescent="0.3">
      <c r="A118" s="308" t="s">
        <v>53</v>
      </c>
      <c r="B118" s="1"/>
      <c r="C118" s="2"/>
      <c r="D118" s="3"/>
      <c r="E118" s="4"/>
      <c r="F118" s="112">
        <f>SUM(E94:E100)</f>
        <v>353548.54</v>
      </c>
      <c r="G118" s="127">
        <f t="shared" si="5"/>
        <v>353548.54</v>
      </c>
      <c r="H118" s="379">
        <f t="shared" si="6"/>
        <v>0.58924757078246737</v>
      </c>
    </row>
    <row r="119" spans="1:8" ht="23.25" thickBot="1" x14ac:dyDescent="0.3">
      <c r="A119" s="308" t="s">
        <v>54</v>
      </c>
      <c r="B119" s="1"/>
      <c r="C119" s="2"/>
      <c r="D119" s="3"/>
      <c r="E119" s="4"/>
      <c r="F119" s="4"/>
      <c r="G119" s="127">
        <f t="shared" si="5"/>
        <v>0</v>
      </c>
      <c r="H119" s="379">
        <f t="shared" si="6"/>
        <v>0</v>
      </c>
    </row>
    <row r="120" spans="1:8" ht="15.75" thickBot="1" x14ac:dyDescent="0.3">
      <c r="A120" s="308" t="s">
        <v>55</v>
      </c>
      <c r="B120" s="1"/>
      <c r="C120" s="2"/>
      <c r="D120" s="3"/>
      <c r="E120" s="4"/>
      <c r="F120" s="112">
        <f>SUM(E26,E33,E43,E56,E62,E72,E85)</f>
        <v>1180</v>
      </c>
      <c r="G120" s="127">
        <f t="shared" si="5"/>
        <v>1180</v>
      </c>
      <c r="H120" s="379">
        <f t="shared" si="6"/>
        <v>1.9666666804035214E-3</v>
      </c>
    </row>
    <row r="121" spans="1:8" ht="23.25" thickBot="1" x14ac:dyDescent="0.3">
      <c r="A121" s="308" t="s">
        <v>56</v>
      </c>
      <c r="B121" s="124">
        <f>SUM(E18:E19)</f>
        <v>7000</v>
      </c>
      <c r="C121" s="2"/>
      <c r="D121" s="3"/>
      <c r="E121" s="4"/>
      <c r="F121" s="112">
        <f>SUM(E23:E25,E30:E32,E37:E42,E46,E49,E53:E55,E60:E61,E66:E71,E80:E81,E83:E84,E88,E91)</f>
        <v>121459</v>
      </c>
      <c r="G121" s="127">
        <f t="shared" si="5"/>
        <v>128459</v>
      </c>
      <c r="H121" s="379">
        <f t="shared" si="6"/>
        <v>0.21409833482877622</v>
      </c>
    </row>
    <row r="122" spans="1:8" ht="23.25" thickBot="1" x14ac:dyDescent="0.3">
      <c r="A122" s="308" t="s">
        <v>57</v>
      </c>
      <c r="B122" s="1"/>
      <c r="C122" s="2"/>
      <c r="D122" s="3"/>
      <c r="E122" s="4"/>
      <c r="F122" s="4"/>
      <c r="G122" s="127">
        <f t="shared" si="5"/>
        <v>0</v>
      </c>
      <c r="H122" s="379">
        <f t="shared" si="6"/>
        <v>0</v>
      </c>
    </row>
    <row r="123" spans="1:8" ht="15.75" thickBot="1" x14ac:dyDescent="0.3">
      <c r="A123" s="308" t="s">
        <v>32</v>
      </c>
      <c r="B123" s="1"/>
      <c r="C123" s="2"/>
      <c r="D123" s="3"/>
      <c r="E123" s="4"/>
      <c r="F123" s="4"/>
      <c r="G123" s="127">
        <f t="shared" si="5"/>
        <v>0</v>
      </c>
      <c r="H123" s="379">
        <f t="shared" si="6"/>
        <v>0</v>
      </c>
    </row>
    <row r="124" spans="1:8" ht="15.75" thickBot="1" x14ac:dyDescent="0.3">
      <c r="A124" s="19" t="s">
        <v>33</v>
      </c>
      <c r="B124" s="124">
        <f>SUM(B115:B123)</f>
        <v>35924.955809095292</v>
      </c>
      <c r="C124" s="2"/>
      <c r="D124" s="3"/>
      <c r="E124" s="4"/>
      <c r="F124" s="124">
        <f>SUM(F115:F123)</f>
        <v>564075.04</v>
      </c>
      <c r="G124" s="127">
        <f t="shared" si="5"/>
        <v>599999.99580909533</v>
      </c>
      <c r="H124" s="43"/>
    </row>
    <row r="125" spans="1:8" ht="15.75" thickBot="1" x14ac:dyDescent="0.3">
      <c r="A125" s="19" t="s">
        <v>34</v>
      </c>
      <c r="B125" s="380">
        <f>B124/$E$108</f>
        <v>5.9874926766709018E-2</v>
      </c>
      <c r="C125" s="2"/>
      <c r="D125" s="3"/>
      <c r="E125" s="4"/>
      <c r="F125" s="380">
        <f>F124/$E$108</f>
        <v>0.9401250732332912</v>
      </c>
      <c r="G125" s="12"/>
      <c r="H125" s="43"/>
    </row>
    <row r="126" spans="1:8" x14ac:dyDescent="0.25">
      <c r="A126" s="20"/>
      <c r="B126" s="20"/>
      <c r="C126" s="20"/>
      <c r="D126" s="20"/>
      <c r="E126" s="20"/>
      <c r="F126" s="20"/>
      <c r="G126" s="20"/>
      <c r="H126" s="44"/>
    </row>
    <row r="127" spans="1:8" x14ac:dyDescent="0.25">
      <c r="A127" s="15"/>
      <c r="B127" s="15"/>
      <c r="C127" s="15"/>
      <c r="D127" s="15"/>
      <c r="E127" s="15"/>
      <c r="F127" s="15"/>
      <c r="G127" s="15"/>
      <c r="H127" s="29"/>
    </row>
    <row r="128" spans="1:8" x14ac:dyDescent="0.25">
      <c r="A128" s="15"/>
      <c r="B128" s="15"/>
      <c r="C128" s="15"/>
      <c r="D128" s="15"/>
      <c r="E128" s="15"/>
      <c r="F128" s="15"/>
      <c r="G128" s="15"/>
      <c r="H128" s="29"/>
    </row>
    <row r="129" spans="1:8" x14ac:dyDescent="0.25">
      <c r="A129" s="15"/>
      <c r="B129" s="15"/>
      <c r="C129" s="15"/>
      <c r="D129" s="15"/>
      <c r="E129" s="15"/>
      <c r="F129" s="15"/>
      <c r="G129" s="15"/>
      <c r="H129" s="29"/>
    </row>
    <row r="130" spans="1:8" x14ac:dyDescent="0.25">
      <c r="A130" s="15"/>
      <c r="B130" s="15"/>
      <c r="C130" s="15"/>
      <c r="D130" s="15"/>
      <c r="E130" s="15"/>
      <c r="F130" s="15"/>
      <c r="G130" s="15"/>
      <c r="H130" s="29"/>
    </row>
    <row r="131" spans="1:8" x14ac:dyDescent="0.25">
      <c r="A131" s="292" t="s">
        <v>538</v>
      </c>
      <c r="B131" s="294">
        <f>E20+E27+E34+E44+E50+E57+E63+E73+E78+E86+E89+E92</f>
        <v>246451.45580909529</v>
      </c>
      <c r="C131" s="15"/>
      <c r="D131" s="15"/>
      <c r="E131" s="15"/>
      <c r="F131" s="15"/>
      <c r="G131" s="15"/>
      <c r="H131" s="29"/>
    </row>
    <row r="132" spans="1:8" x14ac:dyDescent="0.25">
      <c r="A132" s="292" t="s">
        <v>539</v>
      </c>
      <c r="B132" s="294">
        <v>0</v>
      </c>
      <c r="C132" s="15"/>
      <c r="D132" s="15"/>
      <c r="E132" s="15"/>
      <c r="F132" s="15"/>
      <c r="G132" s="15"/>
      <c r="H132" s="29"/>
    </row>
    <row r="133" spans="1:8" x14ac:dyDescent="0.25">
      <c r="A133" s="293" t="s">
        <v>34</v>
      </c>
      <c r="B133" s="295">
        <f>(B131+B132)/G124</f>
        <v>0.41075242921753263</v>
      </c>
      <c r="C133" s="15"/>
      <c r="D133" s="15"/>
      <c r="E133" s="15"/>
      <c r="F133" s="15"/>
      <c r="G133" s="15"/>
      <c r="H133" s="29"/>
    </row>
  </sheetData>
  <mergeCells count="37">
    <mergeCell ref="B8:G8"/>
    <mergeCell ref="B3:G3"/>
    <mergeCell ref="B4:G4"/>
    <mergeCell ref="B5:G5"/>
    <mergeCell ref="B6:G6"/>
    <mergeCell ref="B7:G7"/>
    <mergeCell ref="A51:G51"/>
    <mergeCell ref="A11:G11"/>
    <mergeCell ref="A12:G12"/>
    <mergeCell ref="A20:D20"/>
    <mergeCell ref="A21:G21"/>
    <mergeCell ref="A27:D27"/>
    <mergeCell ref="A28:G28"/>
    <mergeCell ref="A34:D34"/>
    <mergeCell ref="A35:G35"/>
    <mergeCell ref="A44:D44"/>
    <mergeCell ref="A45:G45"/>
    <mergeCell ref="A50:D50"/>
    <mergeCell ref="A101:D101"/>
    <mergeCell ref="A57:D57"/>
    <mergeCell ref="A58:F58"/>
    <mergeCell ref="A63:D63"/>
    <mergeCell ref="A64:F64"/>
    <mergeCell ref="A73:D73"/>
    <mergeCell ref="A74:F74"/>
    <mergeCell ref="A78:D78"/>
    <mergeCell ref="A79:G79"/>
    <mergeCell ref="A86:D86"/>
    <mergeCell ref="A89:D89"/>
    <mergeCell ref="A92:D92"/>
    <mergeCell ref="A111:D111"/>
    <mergeCell ref="A104:D104"/>
    <mergeCell ref="A105:D105"/>
    <mergeCell ref="A106:G106"/>
    <mergeCell ref="A107:D107"/>
    <mergeCell ref="A108:D108"/>
    <mergeCell ref="A110:D110"/>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[19]Sheet1!#REF!</xm:f>
          </x14:formula1>
          <xm:sqref>F29:F34 F36:F44 F22:F27 F59:F63 F91:F92 F103:F104 F46:F50 F52:F57 F65:F73 F75:F78 F13:F20 F88:F89 F80:F86 F94:F101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workbookViewId="0">
      <selection activeCell="G5" sqref="G5"/>
    </sheetView>
  </sheetViews>
  <sheetFormatPr defaultRowHeight="15" x14ac:dyDescent="0.25"/>
  <cols>
    <col min="1" max="1" width="11.42578125" bestFit="1" customWidth="1"/>
    <col min="2" max="2" width="16.28515625" bestFit="1" customWidth="1"/>
    <col min="3" max="3" width="11.42578125" bestFit="1" customWidth="1"/>
    <col min="4" max="4" width="12.42578125" bestFit="1" customWidth="1"/>
    <col min="5" max="5" width="10.7109375" bestFit="1" customWidth="1"/>
    <col min="6" max="6" width="18.7109375" customWidth="1"/>
  </cols>
  <sheetData>
    <row r="1" spans="1:8" ht="75.75" thickBot="1" x14ac:dyDescent="0.3">
      <c r="A1" s="382"/>
      <c r="B1" s="382" t="s">
        <v>754</v>
      </c>
      <c r="C1" s="382" t="s">
        <v>755</v>
      </c>
      <c r="D1" s="382" t="s">
        <v>676</v>
      </c>
      <c r="F1" s="382" t="s">
        <v>750</v>
      </c>
      <c r="G1" s="382" t="s">
        <v>750</v>
      </c>
    </row>
    <row r="2" spans="1:8" ht="30.75" thickBot="1" x14ac:dyDescent="0.3">
      <c r="A2" s="382" t="s">
        <v>751</v>
      </c>
      <c r="B2" s="381">
        <v>23197505.805809099</v>
      </c>
      <c r="C2" s="381">
        <f>F2+F3</f>
        <v>8555052.7278090939</v>
      </c>
      <c r="D2" s="381">
        <f>B2-C2</f>
        <v>14642453.078000005</v>
      </c>
      <c r="F2" s="291">
        <f>SUM('PDP1'!B78+'PDP2'!B92+'PDP3'!B91+'PDP5'!B67+'PDP6'!B91+'PDP7'!B78+'PDP8'!B76+'PDP9'!B105+'PDP10'!B107+'PDP11'!B89+'PDP12'!B103+'PDP13'!B82+'PDP14'!B131+'PDP4'!B60)</f>
        <v>8318103.5278090946</v>
      </c>
    </row>
    <row r="3" spans="1:8" ht="15.75" thickBot="1" x14ac:dyDescent="0.3">
      <c r="A3" s="382" t="s">
        <v>752</v>
      </c>
      <c r="B3" s="381">
        <v>400000</v>
      </c>
      <c r="C3" s="381">
        <v>400000</v>
      </c>
      <c r="D3" s="381">
        <v>0</v>
      </c>
      <c r="F3" s="291">
        <f>SUM('PDP1'!B79+'PDP2'!B93+'PDP3'!B92+'PDP4'!B61+'PDP5'!B68+'PDP6'!B92+'PDP7'!B79+'PDP8'!B77+'PDP9'!B106+'PDP10'!B108+'PDP11'!B90+'PDP12'!B104+'PDP13'!B83+'PDP14'!B132)</f>
        <v>236949.2</v>
      </c>
    </row>
    <row r="4" spans="1:8" ht="45.75" thickBot="1" x14ac:dyDescent="0.3">
      <c r="A4" s="382" t="s">
        <v>753</v>
      </c>
      <c r="B4" s="432">
        <f>B2+B3</f>
        <v>23597505.805809099</v>
      </c>
      <c r="C4" s="432">
        <f>C2+C3</f>
        <v>8955052.7278090939</v>
      </c>
      <c r="D4" s="432">
        <f>D2+D3</f>
        <v>14642453.078000005</v>
      </c>
    </row>
    <row r="5" spans="1:8" ht="30.75" thickBot="1" x14ac:dyDescent="0.3">
      <c r="A5" s="382" t="s">
        <v>675</v>
      </c>
      <c r="B5" s="383">
        <f>C5+D5</f>
        <v>1</v>
      </c>
      <c r="C5" s="383">
        <f>C4/B4</f>
        <v>0.37949149378340613</v>
      </c>
      <c r="D5" s="383">
        <f>D4/B4</f>
        <v>0.62050850621659381</v>
      </c>
      <c r="F5" s="431"/>
      <c r="G5" s="431">
        <v>0.63</v>
      </c>
    </row>
    <row r="9" spans="1:8" x14ac:dyDescent="0.25">
      <c r="B9" s="434"/>
      <c r="C9" s="384"/>
    </row>
    <row r="11" spans="1:8" x14ac:dyDescent="0.25">
      <c r="B11" s="291"/>
      <c r="D11" s="291"/>
    </row>
    <row r="16" spans="1:8" x14ac:dyDescent="0.25">
      <c r="B16" s="291"/>
      <c r="C16" s="291"/>
      <c r="H16" s="291"/>
    </row>
    <row r="17" spans="2:5" x14ac:dyDescent="0.25">
      <c r="E17" s="291"/>
    </row>
    <row r="18" spans="2:5" x14ac:dyDescent="0.25">
      <c r="B18" s="291"/>
      <c r="C18" s="291"/>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A44" sqref="A44"/>
    </sheetView>
  </sheetViews>
  <sheetFormatPr defaultRowHeight="15" x14ac:dyDescent="0.25"/>
  <cols>
    <col min="1" max="1" width="81.140625" customWidth="1"/>
    <col min="2" max="2" width="74.140625" customWidth="1"/>
  </cols>
  <sheetData>
    <row r="1" spans="1:7" ht="15.75" customHeight="1" thickBot="1" x14ac:dyDescent="0.3">
      <c r="A1" s="11" t="s">
        <v>42</v>
      </c>
    </row>
    <row r="2" spans="1:7" ht="15.75" customHeight="1" thickBot="1" x14ac:dyDescent="0.3">
      <c r="A2" s="10" t="s">
        <v>43</v>
      </c>
      <c r="B2" t="s">
        <v>37</v>
      </c>
    </row>
    <row r="3" spans="1:7" ht="15.75" customHeight="1" thickBot="1" x14ac:dyDescent="0.3">
      <c r="A3" s="10" t="s">
        <v>44</v>
      </c>
    </row>
    <row r="4" spans="1:7" ht="15.75" customHeight="1" thickBot="1" x14ac:dyDescent="0.3">
      <c r="A4" s="10" t="s">
        <v>45</v>
      </c>
      <c r="B4" t="s">
        <v>38</v>
      </c>
    </row>
    <row r="5" spans="1:7" ht="15.75" customHeight="1" thickBot="1" x14ac:dyDescent="0.3">
      <c r="A5" s="10" t="s">
        <v>46</v>
      </c>
    </row>
    <row r="6" spans="1:7" ht="15.75" customHeight="1" thickBot="1" x14ac:dyDescent="0.3">
      <c r="A6" s="10" t="s">
        <v>47</v>
      </c>
    </row>
    <row r="7" spans="1:7" ht="15.75" customHeight="1" thickBot="1" x14ac:dyDescent="0.3">
      <c r="A7" s="10" t="s">
        <v>48</v>
      </c>
      <c r="B7" t="s">
        <v>39</v>
      </c>
    </row>
    <row r="8" spans="1:7" ht="34.5" thickBot="1" x14ac:dyDescent="0.3">
      <c r="A8" s="16" t="s">
        <v>49</v>
      </c>
      <c r="B8" s="17" t="s">
        <v>41</v>
      </c>
      <c r="C8" s="17"/>
      <c r="D8" s="17"/>
      <c r="E8" s="17"/>
      <c r="F8" s="17"/>
      <c r="G8" s="1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topLeftCell="A67" workbookViewId="0">
      <selection activeCell="B93" sqref="B93"/>
    </sheetView>
  </sheetViews>
  <sheetFormatPr defaultRowHeight="15" x14ac:dyDescent="0.25"/>
  <cols>
    <col min="1" max="1" width="41" customWidth="1"/>
    <col min="2" max="2" width="13.85546875" bestFit="1" customWidth="1"/>
    <col min="3" max="5" width="10.5703125" customWidth="1"/>
    <col min="6" max="6" width="17.85546875" customWidth="1"/>
    <col min="7" max="7" width="35.42578125" customWidth="1"/>
    <col min="8" max="8" width="33.140625" customWidth="1"/>
    <col min="9" max="9" width="9.140625" customWidth="1"/>
    <col min="10" max="10" width="41" customWidth="1"/>
    <col min="11" max="12" width="13.42578125" customWidth="1"/>
  </cols>
  <sheetData>
    <row r="1" spans="1:10" x14ac:dyDescent="0.25">
      <c r="A1" s="13" t="s">
        <v>17</v>
      </c>
      <c r="B1" s="14"/>
      <c r="C1" s="14"/>
      <c r="D1" s="15"/>
      <c r="E1" s="15"/>
      <c r="F1" s="15"/>
      <c r="G1" s="15"/>
      <c r="H1" s="29"/>
    </row>
    <row r="2" spans="1:10" ht="15.75" thickBot="1" x14ac:dyDescent="0.3">
      <c r="A2" s="15"/>
      <c r="B2" s="15"/>
      <c r="C2" s="15"/>
      <c r="D2" s="15"/>
      <c r="E2" s="15"/>
      <c r="F2" s="15"/>
      <c r="G2" s="15"/>
      <c r="H2" s="29"/>
    </row>
    <row r="3" spans="1:10" ht="15.75" thickBot="1" x14ac:dyDescent="0.3">
      <c r="A3" s="7" t="s">
        <v>7</v>
      </c>
      <c r="B3" s="499" t="s">
        <v>171</v>
      </c>
      <c r="C3" s="500"/>
      <c r="D3" s="500"/>
      <c r="E3" s="500"/>
      <c r="F3" s="500"/>
      <c r="G3" s="501"/>
      <c r="H3" s="30"/>
    </row>
    <row r="4" spans="1:10" ht="15.75" thickBot="1" x14ac:dyDescent="0.3">
      <c r="A4" s="8" t="s">
        <v>15</v>
      </c>
      <c r="B4" s="499" t="s">
        <v>465</v>
      </c>
      <c r="C4" s="500"/>
      <c r="D4" s="500"/>
      <c r="E4" s="500"/>
      <c r="F4" s="500"/>
      <c r="G4" s="501"/>
      <c r="H4" s="30"/>
    </row>
    <row r="5" spans="1:10" ht="15.75" thickBot="1" x14ac:dyDescent="0.3">
      <c r="A5" s="8" t="s">
        <v>8</v>
      </c>
      <c r="B5" s="499" t="s">
        <v>466</v>
      </c>
      <c r="C5" s="500"/>
      <c r="D5" s="500"/>
      <c r="E5" s="500"/>
      <c r="F5" s="500"/>
      <c r="G5" s="501"/>
      <c r="H5" s="30"/>
    </row>
    <row r="6" spans="1:10" ht="15.75" thickBot="1" x14ac:dyDescent="0.3">
      <c r="A6" s="8" t="s">
        <v>16</v>
      </c>
      <c r="B6" s="502">
        <v>1506000</v>
      </c>
      <c r="C6" s="503"/>
      <c r="D6" s="503"/>
      <c r="E6" s="503"/>
      <c r="F6" s="503"/>
      <c r="G6" s="504"/>
      <c r="H6" s="31"/>
    </row>
    <row r="7" spans="1:10" ht="15.75" thickBot="1" x14ac:dyDescent="0.3">
      <c r="A7" s="8" t="s">
        <v>2</v>
      </c>
      <c r="B7" s="505">
        <v>1</v>
      </c>
      <c r="C7" s="506"/>
      <c r="D7" s="506"/>
      <c r="E7" s="506"/>
      <c r="F7" s="506"/>
      <c r="G7" s="507"/>
      <c r="H7" s="32"/>
    </row>
    <row r="8" spans="1:10" ht="15.75" thickBot="1" x14ac:dyDescent="0.3">
      <c r="A8" s="8" t="s">
        <v>9</v>
      </c>
      <c r="B8" s="508" t="s">
        <v>203</v>
      </c>
      <c r="C8" s="509"/>
      <c r="D8" s="509"/>
      <c r="E8" s="509"/>
      <c r="F8" s="509"/>
      <c r="G8" s="510"/>
      <c r="H8" s="32"/>
    </row>
    <row r="9" spans="1:10" ht="15.75" thickBot="1" x14ac:dyDescent="0.3">
      <c r="A9" s="23"/>
      <c r="B9" s="24"/>
      <c r="C9" s="22"/>
      <c r="D9" s="22"/>
      <c r="E9" s="22"/>
      <c r="F9" s="22"/>
      <c r="G9" s="22"/>
      <c r="H9" s="33"/>
      <c r="J9" s="282"/>
    </row>
    <row r="10" spans="1:10" ht="34.5" thickBot="1" x14ac:dyDescent="0.3">
      <c r="A10" s="28"/>
      <c r="B10" s="26" t="s">
        <v>0</v>
      </c>
      <c r="C10" s="26" t="s">
        <v>14</v>
      </c>
      <c r="D10" s="26" t="s">
        <v>23</v>
      </c>
      <c r="E10" s="26" t="s">
        <v>18</v>
      </c>
      <c r="F10" s="26" t="s">
        <v>10</v>
      </c>
      <c r="G10" s="27" t="s">
        <v>1</v>
      </c>
      <c r="H10" s="34" t="s">
        <v>36</v>
      </c>
      <c r="J10" s="282"/>
    </row>
    <row r="11" spans="1:10" ht="15.75" thickBot="1" x14ac:dyDescent="0.3">
      <c r="A11" s="511" t="s">
        <v>21</v>
      </c>
      <c r="B11" s="512"/>
      <c r="C11" s="512"/>
      <c r="D11" s="512"/>
      <c r="E11" s="512"/>
      <c r="F11" s="512"/>
      <c r="G11" s="513"/>
      <c r="H11" s="35"/>
    </row>
    <row r="12" spans="1:10" ht="15.75" thickBot="1" x14ac:dyDescent="0.3">
      <c r="A12" s="514" t="s">
        <v>24</v>
      </c>
      <c r="B12" s="515"/>
      <c r="C12" s="515"/>
      <c r="D12" s="515"/>
      <c r="E12" s="515"/>
      <c r="F12" s="515"/>
      <c r="G12" s="516"/>
      <c r="H12" s="36"/>
    </row>
    <row r="13" spans="1:10" ht="34.5" thickBot="1" x14ac:dyDescent="0.3">
      <c r="A13" s="1" t="s">
        <v>467</v>
      </c>
      <c r="B13" s="2" t="s">
        <v>468</v>
      </c>
      <c r="C13" s="3">
        <v>36</v>
      </c>
      <c r="D13" s="4">
        <v>2816.66</v>
      </c>
      <c r="E13" s="49">
        <f>C13*D13</f>
        <v>101399.76</v>
      </c>
      <c r="F13" s="12" t="s">
        <v>50</v>
      </c>
      <c r="G13" s="5"/>
      <c r="H13" s="25">
        <f>IF(F13=0,"  ",VLOOKUP(F13,[4]Sheet1!$A$1:$B$8,2,FALSE))</f>
        <v>0</v>
      </c>
    </row>
    <row r="14" spans="1:10" ht="34.5" thickBot="1" x14ac:dyDescent="0.3">
      <c r="A14" s="1" t="s">
        <v>469</v>
      </c>
      <c r="B14" s="92" t="s">
        <v>468</v>
      </c>
      <c r="C14" s="3">
        <v>36</v>
      </c>
      <c r="D14" s="4">
        <v>400</v>
      </c>
      <c r="E14" s="49">
        <f>C14*D14</f>
        <v>14400</v>
      </c>
      <c r="F14" s="12" t="s">
        <v>51</v>
      </c>
      <c r="G14" s="5"/>
      <c r="H14" s="25" t="str">
        <f>IF(F14=0," ",VLOOKUP(F14,[4]Sheet1!$A$1:$B$8,2,FALSE))</f>
        <v>If lump sums, include a reference to the defined rules approved by the PO.</v>
      </c>
    </row>
    <row r="15" spans="1:10" ht="34.5" thickBot="1" x14ac:dyDescent="0.3">
      <c r="A15" s="1" t="s">
        <v>470</v>
      </c>
      <c r="B15" s="92" t="s">
        <v>471</v>
      </c>
      <c r="C15" s="3">
        <v>5</v>
      </c>
      <c r="D15" s="4">
        <v>2000</v>
      </c>
      <c r="E15" s="49">
        <f t="shared" ref="E15:E19" si="0">C15*D15</f>
        <v>10000</v>
      </c>
      <c r="F15" s="12" t="s">
        <v>51</v>
      </c>
      <c r="G15" s="5"/>
      <c r="H15" s="25"/>
    </row>
    <row r="16" spans="1:10" ht="34.5" thickBot="1" x14ac:dyDescent="0.3">
      <c r="A16" s="1" t="s">
        <v>472</v>
      </c>
      <c r="B16" s="92" t="s">
        <v>473</v>
      </c>
      <c r="C16" s="3">
        <v>18</v>
      </c>
      <c r="D16" s="4">
        <v>200</v>
      </c>
      <c r="E16" s="49">
        <f t="shared" si="0"/>
        <v>3600</v>
      </c>
      <c r="F16" s="12" t="s">
        <v>50</v>
      </c>
      <c r="G16" s="5"/>
      <c r="H16" s="25"/>
    </row>
    <row r="17" spans="1:8" ht="34.5" thickBot="1" x14ac:dyDescent="0.3">
      <c r="A17" s="1" t="s">
        <v>474</v>
      </c>
      <c r="B17" s="92" t="s">
        <v>232</v>
      </c>
      <c r="C17" s="3">
        <v>32</v>
      </c>
      <c r="D17" s="4">
        <v>7.8</v>
      </c>
      <c r="E17" s="49">
        <f t="shared" si="0"/>
        <v>249.6</v>
      </c>
      <c r="F17" s="12" t="s">
        <v>50</v>
      </c>
      <c r="G17" s="5"/>
      <c r="H17" s="25"/>
    </row>
    <row r="18" spans="1:8" ht="34.5" thickBot="1" x14ac:dyDescent="0.3">
      <c r="A18" s="1" t="s">
        <v>474</v>
      </c>
      <c r="B18" s="92" t="s">
        <v>232</v>
      </c>
      <c r="C18" s="3">
        <v>32</v>
      </c>
      <c r="D18" s="4">
        <v>7</v>
      </c>
      <c r="E18" s="49">
        <f t="shared" si="0"/>
        <v>224</v>
      </c>
      <c r="F18" s="12" t="s">
        <v>50</v>
      </c>
      <c r="G18" s="5"/>
      <c r="H18" s="25"/>
    </row>
    <row r="19" spans="1:8" ht="34.5" thickBot="1" x14ac:dyDescent="0.3">
      <c r="A19" s="1" t="s">
        <v>474</v>
      </c>
      <c r="B19" s="92" t="s">
        <v>232</v>
      </c>
      <c r="C19" s="3">
        <v>32</v>
      </c>
      <c r="D19" s="4">
        <v>6</v>
      </c>
      <c r="E19" s="49">
        <f t="shared" si="0"/>
        <v>192</v>
      </c>
      <c r="F19" s="12" t="s">
        <v>50</v>
      </c>
      <c r="G19" s="5"/>
      <c r="H19" s="25"/>
    </row>
    <row r="20" spans="1:8" ht="15.75" thickBot="1" x14ac:dyDescent="0.3">
      <c r="A20" s="517" t="s">
        <v>3</v>
      </c>
      <c r="B20" s="518"/>
      <c r="C20" s="518"/>
      <c r="D20" s="519"/>
      <c r="E20" s="86">
        <f>SUM(E13:E19)</f>
        <v>130065.36</v>
      </c>
      <c r="F20" s="12"/>
      <c r="G20" s="87"/>
      <c r="H20" s="25" t="str">
        <f>IF(F20=0," ",VLOOKUP(F20,[4]Sheet1!$A$1:$B$8,2,FALSE))</f>
        <v xml:space="preserve"> </v>
      </c>
    </row>
    <row r="21" spans="1:8" ht="15.75" thickBot="1" x14ac:dyDescent="0.3">
      <c r="A21" s="520" t="s">
        <v>210</v>
      </c>
      <c r="B21" s="521"/>
      <c r="C21" s="521"/>
      <c r="D21" s="521"/>
      <c r="E21" s="521"/>
      <c r="F21" s="521"/>
      <c r="G21" s="522"/>
      <c r="H21" s="37"/>
    </row>
    <row r="22" spans="1:8" ht="57" thickBot="1" x14ac:dyDescent="0.3">
      <c r="A22" s="1" t="s">
        <v>475</v>
      </c>
      <c r="B22" s="3" t="s">
        <v>476</v>
      </c>
      <c r="C22" s="3">
        <v>1</v>
      </c>
      <c r="D22" s="4">
        <v>60000</v>
      </c>
      <c r="E22" s="49">
        <f t="shared" ref="E22" si="1">C22*D22</f>
        <v>60000</v>
      </c>
      <c r="F22" s="12" t="s">
        <v>57</v>
      </c>
      <c r="G22" s="93"/>
      <c r="H22" s="25" t="str">
        <f>IF(F22=0," ",VLOOKUP(F22,[4]Sheet1!$A$1:$B$8,2,FALSE))</f>
        <v>Include a reference to the relevant article of the project contract.
Examples of costs: information/publicity, translations, specific evaluation, audits, charges for financial transactions, etc.</v>
      </c>
    </row>
    <row r="23" spans="1:8" ht="15.75" thickBot="1" x14ac:dyDescent="0.3">
      <c r="A23" s="517" t="s">
        <v>4</v>
      </c>
      <c r="B23" s="518"/>
      <c r="C23" s="518"/>
      <c r="D23" s="523"/>
      <c r="E23" s="86">
        <f>SUM(E22:E22)</f>
        <v>60000</v>
      </c>
      <c r="F23" s="12"/>
      <c r="G23" s="93"/>
      <c r="H23" s="25" t="str">
        <f>IF(F23=0," ",VLOOKUP(F23,[4]Sheet1!$A$1:$B$8,2,FALSE))</f>
        <v xml:space="preserve"> </v>
      </c>
    </row>
    <row r="24" spans="1:8" ht="15.75" thickBot="1" x14ac:dyDescent="0.3">
      <c r="A24" s="520" t="s">
        <v>167</v>
      </c>
      <c r="B24" s="521"/>
      <c r="C24" s="521"/>
      <c r="D24" s="521"/>
      <c r="E24" s="521"/>
      <c r="F24" s="521"/>
      <c r="G24" s="522"/>
      <c r="H24" s="37"/>
    </row>
    <row r="25" spans="1:8" ht="45.75" thickBot="1" x14ac:dyDescent="0.3">
      <c r="A25" s="1" t="s">
        <v>543</v>
      </c>
      <c r="B25" s="2" t="s">
        <v>476</v>
      </c>
      <c r="C25" s="3">
        <v>4</v>
      </c>
      <c r="D25" s="4">
        <v>55000</v>
      </c>
      <c r="E25" s="49">
        <f t="shared" ref="E25" si="2">C25*D25</f>
        <v>220000</v>
      </c>
      <c r="F25" s="12" t="s">
        <v>53</v>
      </c>
      <c r="G25" s="93"/>
      <c r="H25" s="25" t="str">
        <f>IF(F25=0," ",VLOOKUP(F25,[4]Sheet1!$A$1:$B$8,2,FALSE))</f>
        <v xml:space="preserve">Refer to a document confirming that the PO determined the equipment as integral and necessary for achieving the outcomes of the PDP. </v>
      </c>
    </row>
    <row r="26" spans="1:8" ht="15.75" thickBot="1" x14ac:dyDescent="0.3">
      <c r="A26" s="517" t="s">
        <v>5</v>
      </c>
      <c r="B26" s="518"/>
      <c r="C26" s="518"/>
      <c r="D26" s="523"/>
      <c r="E26" s="86">
        <f>SUM(E25:E25)</f>
        <v>220000</v>
      </c>
      <c r="F26" s="12"/>
      <c r="G26" s="93"/>
      <c r="H26" s="25" t="str">
        <f>IF(F26=0," ",VLOOKUP(F26,[4]Sheet1!$A$1:$B$8,2,FALSE))</f>
        <v xml:space="preserve"> </v>
      </c>
    </row>
    <row r="27" spans="1:8" ht="15.75" customHeight="1" thickBot="1" x14ac:dyDescent="0.3">
      <c r="A27" s="520" t="s">
        <v>477</v>
      </c>
      <c r="B27" s="521"/>
      <c r="C27" s="521"/>
      <c r="D27" s="521"/>
      <c r="E27" s="521"/>
      <c r="F27" s="521"/>
      <c r="G27" s="522"/>
      <c r="H27" s="37"/>
    </row>
    <row r="28" spans="1:8" ht="57" thickBot="1" x14ac:dyDescent="0.3">
      <c r="A28" s="1" t="s">
        <v>478</v>
      </c>
      <c r="B28" s="3" t="s">
        <v>479</v>
      </c>
      <c r="C28" s="3">
        <v>100</v>
      </c>
      <c r="D28" s="4">
        <v>240</v>
      </c>
      <c r="E28" s="49">
        <f t="shared" ref="E28:E33" si="3">C28*D28</f>
        <v>24000</v>
      </c>
      <c r="F28" s="12" t="s">
        <v>57</v>
      </c>
      <c r="G28" s="93"/>
      <c r="H28" s="25" t="str">
        <f>IF(F28=0," ",VLOOKUP(F28,[4]Sheet1!$A$1:$B$8,2,FALSE))</f>
        <v>Include a reference to the relevant article of the project contract.
Examples of costs: information/publicity, translations, specific evaluation, audits, charges for financial transactions, etc.</v>
      </c>
    </row>
    <row r="29" spans="1:8" ht="57" thickBot="1" x14ac:dyDescent="0.3">
      <c r="A29" s="1" t="s">
        <v>480</v>
      </c>
      <c r="B29" s="3" t="s">
        <v>481</v>
      </c>
      <c r="C29" s="3">
        <v>80</v>
      </c>
      <c r="D29" s="4">
        <v>1500</v>
      </c>
      <c r="E29" s="49">
        <f t="shared" si="3"/>
        <v>120000</v>
      </c>
      <c r="F29" s="12" t="s">
        <v>57</v>
      </c>
      <c r="G29" s="93"/>
      <c r="H29" s="25"/>
    </row>
    <row r="30" spans="1:8" ht="57" thickBot="1" x14ac:dyDescent="0.3">
      <c r="A30" s="1" t="s">
        <v>482</v>
      </c>
      <c r="B30" s="3" t="s">
        <v>481</v>
      </c>
      <c r="C30" s="3">
        <v>100</v>
      </c>
      <c r="D30" s="4">
        <v>1200</v>
      </c>
      <c r="E30" s="49">
        <f t="shared" si="3"/>
        <v>120000</v>
      </c>
      <c r="F30" s="12" t="s">
        <v>57</v>
      </c>
      <c r="G30" s="93"/>
      <c r="H30" s="25"/>
    </row>
    <row r="31" spans="1:8" ht="57" thickBot="1" x14ac:dyDescent="0.3">
      <c r="A31" s="1" t="s">
        <v>544</v>
      </c>
      <c r="B31" s="3" t="s">
        <v>481</v>
      </c>
      <c r="C31" s="3">
        <v>10</v>
      </c>
      <c r="D31" s="4">
        <v>1200</v>
      </c>
      <c r="E31" s="49">
        <f t="shared" si="3"/>
        <v>12000</v>
      </c>
      <c r="F31" s="12" t="s">
        <v>57</v>
      </c>
      <c r="G31" s="93"/>
      <c r="H31" s="25"/>
    </row>
    <row r="32" spans="1:8" ht="57" thickBot="1" x14ac:dyDescent="0.3">
      <c r="A32" s="1" t="s">
        <v>483</v>
      </c>
      <c r="B32" s="3" t="s">
        <v>481</v>
      </c>
      <c r="C32" s="3">
        <v>15</v>
      </c>
      <c r="D32" s="4">
        <v>1200</v>
      </c>
      <c r="E32" s="49">
        <f t="shared" si="3"/>
        <v>18000</v>
      </c>
      <c r="F32" s="12" t="s">
        <v>57</v>
      </c>
      <c r="G32" s="93"/>
      <c r="H32" s="25"/>
    </row>
    <row r="33" spans="1:10" ht="57" thickBot="1" x14ac:dyDescent="0.3">
      <c r="A33" s="1" t="s">
        <v>484</v>
      </c>
      <c r="B33" s="92" t="s">
        <v>481</v>
      </c>
      <c r="C33" s="3">
        <v>300</v>
      </c>
      <c r="D33" s="4">
        <v>1100</v>
      </c>
      <c r="E33" s="49">
        <f t="shared" si="3"/>
        <v>330000</v>
      </c>
      <c r="F33" s="12" t="s">
        <v>57</v>
      </c>
      <c r="G33" s="93"/>
      <c r="H33" s="25" t="str">
        <f>IF(F33=0," ",VLOOKUP(F33,[4]Sheet1!$A$1:$B$8,2,FALSE))</f>
        <v>Include a reference to the relevant article of the project contract.
Examples of costs: information/publicity, translations, specific evaluation, audits, charges for financial transactions, etc.</v>
      </c>
    </row>
    <row r="34" spans="1:10" ht="15.75" thickBot="1" x14ac:dyDescent="0.3">
      <c r="A34" s="517" t="s">
        <v>6</v>
      </c>
      <c r="B34" s="518"/>
      <c r="C34" s="518"/>
      <c r="D34" s="523"/>
      <c r="E34" s="86">
        <f>SUM(E28:E33)</f>
        <v>624000</v>
      </c>
      <c r="F34" s="12"/>
      <c r="G34" s="93"/>
      <c r="H34" s="25" t="str">
        <f>IF(F34=0," ",VLOOKUP(F34,[4]Sheet1!$A$1:$B$8,2,FALSE))</f>
        <v xml:space="preserve"> </v>
      </c>
    </row>
    <row r="35" spans="1:10" ht="15.75" customHeight="1" thickBot="1" x14ac:dyDescent="0.3">
      <c r="A35" s="524" t="s">
        <v>485</v>
      </c>
      <c r="B35" s="525"/>
      <c r="C35" s="525"/>
      <c r="D35" s="83"/>
      <c r="E35" s="83"/>
      <c r="F35" s="83"/>
      <c r="G35" s="84"/>
      <c r="H35" s="37"/>
    </row>
    <row r="36" spans="1:10" ht="57" thickBot="1" x14ac:dyDescent="0.3">
      <c r="A36" s="1" t="s">
        <v>486</v>
      </c>
      <c r="B36" s="2" t="s">
        <v>481</v>
      </c>
      <c r="C36" s="3">
        <v>60</v>
      </c>
      <c r="D36" s="4">
        <v>800</v>
      </c>
      <c r="E36" s="49">
        <f t="shared" ref="E36:E38" si="4">C36*D36</f>
        <v>48000</v>
      </c>
      <c r="F36" s="12" t="s">
        <v>57</v>
      </c>
      <c r="G36" s="93"/>
      <c r="H36" s="25" t="str">
        <f>IF(F36=0," ",VLOOKUP(F36,[4]Sheet1!$A$1:$B$8,2,FALSE))</f>
        <v>Include a reference to the relevant article of the project contract.
Examples of costs: information/publicity, translations, specific evaluation, audits, charges for financial transactions, etc.</v>
      </c>
    </row>
    <row r="37" spans="1:10" ht="57" thickBot="1" x14ac:dyDescent="0.3">
      <c r="A37" s="1" t="s">
        <v>545</v>
      </c>
      <c r="B37" s="2" t="s">
        <v>481</v>
      </c>
      <c r="C37" s="3">
        <v>55</v>
      </c>
      <c r="D37" s="4">
        <v>800</v>
      </c>
      <c r="E37" s="49">
        <f t="shared" si="4"/>
        <v>44000</v>
      </c>
      <c r="F37" s="12" t="s">
        <v>57</v>
      </c>
      <c r="G37" s="93"/>
      <c r="H37" s="25"/>
    </row>
    <row r="38" spans="1:10" ht="57" thickBot="1" x14ac:dyDescent="0.3">
      <c r="A38" s="1" t="s">
        <v>487</v>
      </c>
      <c r="B38" s="92" t="s">
        <v>481</v>
      </c>
      <c r="C38" s="3">
        <v>60</v>
      </c>
      <c r="D38" s="4">
        <v>1200</v>
      </c>
      <c r="E38" s="49">
        <f t="shared" si="4"/>
        <v>72000</v>
      </c>
      <c r="F38" s="12" t="s">
        <v>57</v>
      </c>
      <c r="G38" s="93"/>
      <c r="H38" s="25" t="str">
        <f>IF(F38=0," ",VLOOKUP(F38,[4]Sheet1!$A$1:$B$8,2,FALSE))</f>
        <v>Include a reference to the relevant article of the project contract.
Examples of costs: information/publicity, translations, specific evaluation, audits, charges for financial transactions, etc.</v>
      </c>
    </row>
    <row r="39" spans="1:10" ht="15.75" thickBot="1" x14ac:dyDescent="0.3">
      <c r="A39" s="517" t="s">
        <v>123</v>
      </c>
      <c r="B39" s="518"/>
      <c r="C39" s="518"/>
      <c r="D39" s="519"/>
      <c r="E39" s="86">
        <f>SUM(E36:E38)</f>
        <v>164000</v>
      </c>
      <c r="F39" s="12"/>
      <c r="G39" s="93"/>
      <c r="H39" s="104"/>
    </row>
    <row r="40" spans="1:10" ht="15.75" customHeight="1" thickBot="1" x14ac:dyDescent="0.3">
      <c r="A40" s="520" t="s">
        <v>488</v>
      </c>
      <c r="B40" s="521"/>
      <c r="C40" s="521"/>
      <c r="D40" s="521"/>
      <c r="E40" s="521"/>
      <c r="F40" s="521"/>
      <c r="G40" s="522"/>
      <c r="H40" s="37"/>
    </row>
    <row r="41" spans="1:10" ht="57" thickBot="1" x14ac:dyDescent="0.3">
      <c r="A41" s="1" t="s">
        <v>546</v>
      </c>
      <c r="B41" s="92" t="s">
        <v>476</v>
      </c>
      <c r="C41" s="3">
        <v>4</v>
      </c>
      <c r="D41" s="4">
        <v>22500</v>
      </c>
      <c r="E41" s="49">
        <f t="shared" ref="E41" si="5">C41*D41</f>
        <v>90000</v>
      </c>
      <c r="F41" s="12" t="s">
        <v>57</v>
      </c>
      <c r="G41" s="93"/>
      <c r="H41" s="25"/>
    </row>
    <row r="42" spans="1:10" ht="15.75" thickBot="1" x14ac:dyDescent="0.3">
      <c r="A42" s="517" t="s">
        <v>126</v>
      </c>
      <c r="B42" s="518"/>
      <c r="C42" s="518"/>
      <c r="D42" s="519"/>
      <c r="E42" s="86">
        <f>SUM(E41)</f>
        <v>90000</v>
      </c>
      <c r="F42" s="12"/>
      <c r="G42" s="93"/>
      <c r="H42" s="104"/>
    </row>
    <row r="43" spans="1:10" ht="15.75" customHeight="1" thickBot="1" x14ac:dyDescent="0.3">
      <c r="A43" s="524" t="s">
        <v>489</v>
      </c>
      <c r="B43" s="525"/>
      <c r="C43" s="525"/>
      <c r="D43" s="83"/>
      <c r="E43" s="83"/>
      <c r="F43" s="83"/>
      <c r="G43" s="84"/>
      <c r="H43" s="37"/>
    </row>
    <row r="44" spans="1:10" ht="34.5" thickBot="1" x14ac:dyDescent="0.3">
      <c r="A44" s="1" t="s">
        <v>490</v>
      </c>
      <c r="B44" s="2" t="s">
        <v>491</v>
      </c>
      <c r="C44" s="3">
        <v>5</v>
      </c>
      <c r="D44" s="4">
        <v>9400</v>
      </c>
      <c r="E44" s="49">
        <f t="shared" ref="E44:E48" si="6">C44*D44</f>
        <v>47000</v>
      </c>
      <c r="F44" s="12" t="s">
        <v>51</v>
      </c>
      <c r="G44" s="93"/>
      <c r="H44" s="25" t="str">
        <f>IF(F44=0," ",VLOOKUP(F44,[4]Sheet1!$A$1:$B$8,2,FALSE))</f>
        <v>If lump sums, include a reference to the defined rules approved by the PO.</v>
      </c>
      <c r="J44" s="282"/>
    </row>
    <row r="45" spans="1:10" ht="34.5" thickBot="1" x14ac:dyDescent="0.3">
      <c r="A45" s="1" t="s">
        <v>492</v>
      </c>
      <c r="B45" s="2" t="s">
        <v>491</v>
      </c>
      <c r="C45" s="3">
        <v>5</v>
      </c>
      <c r="D45" s="4">
        <v>6000</v>
      </c>
      <c r="E45" s="49">
        <f t="shared" si="6"/>
        <v>30000</v>
      </c>
      <c r="F45" s="12" t="s">
        <v>51</v>
      </c>
      <c r="G45" s="93"/>
      <c r="H45" s="25"/>
    </row>
    <row r="46" spans="1:10" ht="34.5" thickBot="1" x14ac:dyDescent="0.3">
      <c r="A46" s="385" t="s">
        <v>677</v>
      </c>
      <c r="B46" s="2" t="s">
        <v>232</v>
      </c>
      <c r="C46" s="3">
        <v>50</v>
      </c>
      <c r="D46" s="4">
        <v>9.5</v>
      </c>
      <c r="E46" s="49">
        <f t="shared" si="6"/>
        <v>475</v>
      </c>
      <c r="F46" s="12" t="s">
        <v>50</v>
      </c>
      <c r="G46" s="93"/>
      <c r="H46" s="25"/>
    </row>
    <row r="47" spans="1:10" ht="34.5" thickBot="1" x14ac:dyDescent="0.3">
      <c r="A47" s="385" t="s">
        <v>677</v>
      </c>
      <c r="B47" s="2" t="s">
        <v>232</v>
      </c>
      <c r="C47" s="3">
        <v>60</v>
      </c>
      <c r="D47" s="4">
        <v>8</v>
      </c>
      <c r="E47" s="49">
        <f t="shared" si="6"/>
        <v>480</v>
      </c>
      <c r="F47" s="12" t="s">
        <v>50</v>
      </c>
      <c r="G47" s="93"/>
      <c r="H47" s="25"/>
      <c r="J47" s="282">
        <f>93090+E46+E47+E48</f>
        <v>94435</v>
      </c>
    </row>
    <row r="48" spans="1:10" ht="34.5" thickBot="1" x14ac:dyDescent="0.3">
      <c r="A48" s="385" t="s">
        <v>677</v>
      </c>
      <c r="B48" s="2" t="s">
        <v>232</v>
      </c>
      <c r="C48" s="3">
        <v>60</v>
      </c>
      <c r="D48" s="4">
        <v>6.5</v>
      </c>
      <c r="E48" s="49">
        <f t="shared" si="6"/>
        <v>390</v>
      </c>
      <c r="F48" s="12" t="s">
        <v>50</v>
      </c>
      <c r="G48" s="93"/>
      <c r="H48" s="25"/>
    </row>
    <row r="49" spans="1:8" ht="15.75" thickBot="1" x14ac:dyDescent="0.3">
      <c r="A49" s="517" t="s">
        <v>129</v>
      </c>
      <c r="B49" s="518"/>
      <c r="C49" s="518"/>
      <c r="D49" s="519"/>
      <c r="E49" s="86">
        <f>SUM(E44:E48)</f>
        <v>78345</v>
      </c>
      <c r="F49" s="12"/>
      <c r="G49" s="93"/>
      <c r="H49" s="104"/>
    </row>
    <row r="50" spans="1:8" ht="15.75" customHeight="1" thickBot="1" x14ac:dyDescent="0.3">
      <c r="A50" s="524" t="s">
        <v>493</v>
      </c>
      <c r="B50" s="525"/>
      <c r="C50" s="525"/>
      <c r="D50" s="524"/>
      <c r="E50" s="525"/>
      <c r="F50" s="525"/>
      <c r="G50" s="114"/>
      <c r="H50" s="241"/>
    </row>
    <row r="51" spans="1:8" ht="34.5" thickBot="1" x14ac:dyDescent="0.3">
      <c r="A51" s="1" t="s">
        <v>494</v>
      </c>
      <c r="B51" s="3" t="s">
        <v>495</v>
      </c>
      <c r="C51" s="3">
        <v>18</v>
      </c>
      <c r="D51" s="4">
        <v>450</v>
      </c>
      <c r="E51" s="49">
        <f t="shared" ref="E51:E53" si="7">C51*D51</f>
        <v>8100</v>
      </c>
      <c r="F51" s="12" t="s">
        <v>51</v>
      </c>
      <c r="G51" s="242"/>
      <c r="H51" s="25" t="str">
        <f>IF(F51=0," ",VLOOKUP(F51,[5]Sheet1!$A$1:$B$8,2,FALSE))</f>
        <v>If lump sums, include a reference to the defined rules approved by the PO.</v>
      </c>
    </row>
    <row r="52" spans="1:8" ht="34.5" thickBot="1" x14ac:dyDescent="0.3">
      <c r="A52" s="1" t="s">
        <v>496</v>
      </c>
      <c r="B52" s="88" t="s">
        <v>497</v>
      </c>
      <c r="C52" s="3">
        <v>72</v>
      </c>
      <c r="D52" s="4">
        <v>35</v>
      </c>
      <c r="E52" s="49">
        <f t="shared" si="7"/>
        <v>2520</v>
      </c>
      <c r="F52" s="12" t="s">
        <v>51</v>
      </c>
      <c r="G52" s="242"/>
      <c r="H52" s="243"/>
    </row>
    <row r="53" spans="1:8" ht="34.5" thickBot="1" x14ac:dyDescent="0.3">
      <c r="A53" s="1" t="s">
        <v>498</v>
      </c>
      <c r="B53" s="3" t="s">
        <v>499</v>
      </c>
      <c r="C53" s="3">
        <v>54</v>
      </c>
      <c r="D53" s="4">
        <v>145</v>
      </c>
      <c r="E53" s="49">
        <f t="shared" si="7"/>
        <v>7830</v>
      </c>
      <c r="F53" s="12" t="s">
        <v>51</v>
      </c>
      <c r="G53" s="242"/>
      <c r="H53" s="243"/>
    </row>
    <row r="54" spans="1:8" ht="15.75" thickBot="1" x14ac:dyDescent="0.3">
      <c r="A54" s="517" t="s">
        <v>500</v>
      </c>
      <c r="B54" s="518"/>
      <c r="C54" s="518"/>
      <c r="D54" s="523"/>
      <c r="E54" s="244">
        <f>SUM(E51:E53)</f>
        <v>18450</v>
      </c>
      <c r="F54" s="245"/>
      <c r="G54" s="242"/>
      <c r="H54" s="243" t="str">
        <f>IF(F54=0," ",VLOOKUP(F54,[5]Sheet1!$A$1:$B$8,2,FALSE))</f>
        <v xml:space="preserve"> </v>
      </c>
    </row>
    <row r="55" spans="1:8" ht="15.75" customHeight="1" thickBot="1" x14ac:dyDescent="0.3">
      <c r="A55" s="520" t="s">
        <v>501</v>
      </c>
      <c r="B55" s="521"/>
      <c r="C55" s="521"/>
      <c r="D55" s="521"/>
      <c r="E55" s="521"/>
      <c r="F55" s="521"/>
      <c r="G55" s="522"/>
      <c r="H55" s="37"/>
    </row>
    <row r="56" spans="1:8" ht="34.5" thickBot="1" x14ac:dyDescent="0.3">
      <c r="A56" s="1" t="s">
        <v>502</v>
      </c>
      <c r="B56" s="246" t="s">
        <v>503</v>
      </c>
      <c r="C56" s="3">
        <v>100</v>
      </c>
      <c r="D56" s="4">
        <v>30</v>
      </c>
      <c r="E56" s="49">
        <f t="shared" ref="E56:E65" si="8">C56*D56</f>
        <v>3000</v>
      </c>
      <c r="F56" s="12" t="s">
        <v>51</v>
      </c>
      <c r="G56" s="93"/>
      <c r="H56" s="25" t="str">
        <f>IF(F56=0," ",VLOOKUP(F56,[5]Sheet1!$A$1:$B$8,2,FALSE))</f>
        <v>If lump sums, include a reference to the defined rules approved by the PO.</v>
      </c>
    </row>
    <row r="57" spans="1:8" ht="34.5" thickBot="1" x14ac:dyDescent="0.3">
      <c r="A57" s="1" t="s">
        <v>504</v>
      </c>
      <c r="B57" s="88" t="s">
        <v>497</v>
      </c>
      <c r="C57" s="3">
        <v>300</v>
      </c>
      <c r="D57" s="4">
        <v>11.24</v>
      </c>
      <c r="E57" s="49">
        <f t="shared" si="8"/>
        <v>3372</v>
      </c>
      <c r="F57" s="12" t="s">
        <v>51</v>
      </c>
      <c r="G57" s="93"/>
      <c r="H57" s="25"/>
    </row>
    <row r="58" spans="1:8" ht="34.5" thickBot="1" x14ac:dyDescent="0.3">
      <c r="A58" s="1" t="s">
        <v>505</v>
      </c>
      <c r="B58" s="123" t="s">
        <v>499</v>
      </c>
      <c r="C58" s="3">
        <v>200</v>
      </c>
      <c r="D58" s="4">
        <v>22.5</v>
      </c>
      <c r="E58" s="49">
        <f t="shared" si="8"/>
        <v>4500</v>
      </c>
      <c r="F58" s="12" t="s">
        <v>51</v>
      </c>
      <c r="G58" s="93"/>
      <c r="H58" s="25"/>
    </row>
    <row r="59" spans="1:8" ht="34.5" thickBot="1" x14ac:dyDescent="0.3">
      <c r="A59" s="1" t="s">
        <v>506</v>
      </c>
      <c r="B59" s="3" t="s">
        <v>495</v>
      </c>
      <c r="C59" s="3">
        <v>6</v>
      </c>
      <c r="D59" s="4">
        <v>450</v>
      </c>
      <c r="E59" s="49">
        <f t="shared" si="8"/>
        <v>2700</v>
      </c>
      <c r="F59" s="12" t="s">
        <v>51</v>
      </c>
      <c r="G59" s="93"/>
      <c r="H59" s="25"/>
    </row>
    <row r="60" spans="1:8" ht="34.5" thickBot="1" x14ac:dyDescent="0.3">
      <c r="A60" s="1" t="s">
        <v>506</v>
      </c>
      <c r="B60" s="123" t="s">
        <v>507</v>
      </c>
      <c r="C60" s="3">
        <v>48</v>
      </c>
      <c r="D60" s="4">
        <v>227</v>
      </c>
      <c r="E60" s="49">
        <f t="shared" si="8"/>
        <v>10896</v>
      </c>
      <c r="F60" s="12" t="s">
        <v>51</v>
      </c>
      <c r="G60" s="93"/>
      <c r="H60" s="25"/>
    </row>
    <row r="61" spans="1:8" ht="57" thickBot="1" x14ac:dyDescent="0.3">
      <c r="A61" s="1" t="s">
        <v>508</v>
      </c>
      <c r="B61" s="123" t="s">
        <v>509</v>
      </c>
      <c r="C61" s="3">
        <v>8</v>
      </c>
      <c r="D61" s="4">
        <v>130</v>
      </c>
      <c r="E61" s="49">
        <f t="shared" si="8"/>
        <v>1040</v>
      </c>
      <c r="F61" s="247" t="s">
        <v>56</v>
      </c>
      <c r="G61" s="93"/>
      <c r="H61" s="25"/>
    </row>
    <row r="62" spans="1:8" ht="57" thickBot="1" x14ac:dyDescent="0.3">
      <c r="A62" s="1" t="s">
        <v>510</v>
      </c>
      <c r="B62" s="246" t="s">
        <v>511</v>
      </c>
      <c r="C62" s="3">
        <v>200</v>
      </c>
      <c r="D62" s="4">
        <v>4</v>
      </c>
      <c r="E62" s="49">
        <f t="shared" si="8"/>
        <v>800</v>
      </c>
      <c r="F62" s="247" t="s">
        <v>56</v>
      </c>
      <c r="G62" s="93"/>
      <c r="H62" s="25"/>
    </row>
    <row r="63" spans="1:8" ht="57" thickBot="1" x14ac:dyDescent="0.3">
      <c r="A63" s="1" t="s">
        <v>512</v>
      </c>
      <c r="B63" s="246" t="s">
        <v>509</v>
      </c>
      <c r="C63" s="3">
        <v>8</v>
      </c>
      <c r="D63" s="4">
        <v>130</v>
      </c>
      <c r="E63" s="49">
        <f t="shared" si="8"/>
        <v>1040</v>
      </c>
      <c r="F63" s="247" t="s">
        <v>56</v>
      </c>
      <c r="G63" s="93"/>
      <c r="H63" s="25"/>
    </row>
    <row r="64" spans="1:8" ht="57" thickBot="1" x14ac:dyDescent="0.3">
      <c r="A64" s="1" t="s">
        <v>513</v>
      </c>
      <c r="B64" s="246" t="s">
        <v>514</v>
      </c>
      <c r="C64" s="3">
        <v>1</v>
      </c>
      <c r="D64" s="4">
        <v>294.39999999999998</v>
      </c>
      <c r="E64" s="49">
        <f t="shared" si="8"/>
        <v>294.39999999999998</v>
      </c>
      <c r="F64" s="247" t="s">
        <v>56</v>
      </c>
      <c r="G64" s="93"/>
      <c r="H64" s="25"/>
    </row>
    <row r="65" spans="1:12" ht="57" thickBot="1" x14ac:dyDescent="0.3">
      <c r="A65" s="1" t="s">
        <v>515</v>
      </c>
      <c r="B65" s="246" t="s">
        <v>516</v>
      </c>
      <c r="C65" s="3">
        <v>1</v>
      </c>
      <c r="D65" s="4">
        <v>300</v>
      </c>
      <c r="E65" s="49">
        <f t="shared" si="8"/>
        <v>300</v>
      </c>
      <c r="F65" s="247" t="s">
        <v>56</v>
      </c>
      <c r="G65" s="93"/>
      <c r="H65" s="25"/>
    </row>
    <row r="66" spans="1:12" ht="15.75" thickBot="1" x14ac:dyDescent="0.3">
      <c r="A66" s="517" t="s">
        <v>135</v>
      </c>
      <c r="B66" s="518"/>
      <c r="C66" s="518"/>
      <c r="D66" s="523"/>
      <c r="E66" s="86">
        <f>SUM(E56:E65)</f>
        <v>27942.400000000001</v>
      </c>
      <c r="F66" s="12"/>
      <c r="G66" s="93"/>
      <c r="H66" s="25" t="str">
        <f>IF(F66=0," ",VLOOKUP(F66,[4]Sheet1!$A$1:$B$8,2,FALSE))</f>
        <v xml:space="preserve"> </v>
      </c>
    </row>
    <row r="67" spans="1:12" ht="15.75" thickBot="1" x14ac:dyDescent="0.3">
      <c r="A67" s="526" t="s">
        <v>11</v>
      </c>
      <c r="B67" s="527"/>
      <c r="C67" s="527"/>
      <c r="D67" s="528"/>
      <c r="E67" s="53">
        <f>E20+E23+E26+E34+E39+E42+E49+E54+E66</f>
        <v>1412802.7599999998</v>
      </c>
      <c r="F67" s="93"/>
      <c r="G67" s="93"/>
      <c r="H67" s="38"/>
    </row>
    <row r="68" spans="1:12" ht="15.75" thickBot="1" x14ac:dyDescent="0.3">
      <c r="A68" s="532" t="s">
        <v>12</v>
      </c>
      <c r="B68" s="533"/>
      <c r="C68" s="533"/>
      <c r="D68" s="533"/>
      <c r="E68" s="533"/>
      <c r="F68" s="533"/>
      <c r="G68" s="534"/>
      <c r="H68" s="39"/>
    </row>
    <row r="69" spans="1:12" ht="23.25" thickBot="1" x14ac:dyDescent="0.3">
      <c r="A69" s="526" t="s">
        <v>13</v>
      </c>
      <c r="B69" s="527"/>
      <c r="C69" s="527"/>
      <c r="D69" s="528"/>
      <c r="E69" s="94">
        <v>93197.050000000221</v>
      </c>
      <c r="F69" s="93"/>
      <c r="G69" s="90" t="s">
        <v>517</v>
      </c>
      <c r="H69" s="40" t="s">
        <v>40</v>
      </c>
      <c r="J69" s="283">
        <f>E69/E67</f>
        <v>6.5966072999461181E-2</v>
      </c>
    </row>
    <row r="70" spans="1:12" ht="15.75" thickBot="1" x14ac:dyDescent="0.3">
      <c r="A70" s="529" t="s">
        <v>22</v>
      </c>
      <c r="B70" s="530"/>
      <c r="C70" s="530"/>
      <c r="D70" s="531"/>
      <c r="E70" s="95">
        <f>E67+E69</f>
        <v>1505999.81</v>
      </c>
      <c r="F70" s="93"/>
      <c r="G70" s="93" t="s">
        <v>284</v>
      </c>
      <c r="H70" s="41"/>
      <c r="J70" s="304" t="s">
        <v>678</v>
      </c>
    </row>
    <row r="71" spans="1:12" ht="15.75" thickBot="1" x14ac:dyDescent="0.3">
      <c r="A71" s="15"/>
      <c r="B71" s="15"/>
      <c r="C71" s="15"/>
      <c r="D71" s="15"/>
      <c r="E71" s="15"/>
      <c r="F71" s="15"/>
      <c r="G71" s="15"/>
      <c r="H71" s="29"/>
      <c r="K71" s="15"/>
      <c r="L71" s="15"/>
    </row>
    <row r="72" spans="1:12" ht="15.75" thickBot="1" x14ac:dyDescent="0.3">
      <c r="A72" s="486" t="s">
        <v>19</v>
      </c>
      <c r="B72" s="486"/>
      <c r="C72" s="486"/>
      <c r="D72" s="486"/>
      <c r="E72" s="96">
        <f>E20</f>
        <v>130065.36</v>
      </c>
      <c r="F72" s="15"/>
      <c r="G72" s="15"/>
      <c r="H72" s="29"/>
    </row>
    <row r="73" spans="1:12" ht="15.75" thickBot="1" x14ac:dyDescent="0.3">
      <c r="A73" s="486" t="s">
        <v>20</v>
      </c>
      <c r="B73" s="486"/>
      <c r="C73" s="486"/>
      <c r="D73" s="486"/>
      <c r="E73" s="94">
        <f>E23+E26+E34+E39+E42+E49+E54+E66</f>
        <v>1282737.3999999999</v>
      </c>
      <c r="F73" s="15"/>
      <c r="G73" s="78"/>
      <c r="H73" s="29"/>
    </row>
    <row r="74" spans="1:12" x14ac:dyDescent="0.25">
      <c r="J74" s="15"/>
      <c r="K74" s="15"/>
      <c r="L74" s="15"/>
    </row>
    <row r="75" spans="1:12" ht="15.75" thickBot="1" x14ac:dyDescent="0.3">
      <c r="J75" s="15"/>
      <c r="K75" s="15"/>
      <c r="L75" s="15"/>
    </row>
    <row r="76" spans="1:12" ht="34.5" thickBot="1" x14ac:dyDescent="0.3">
      <c r="A76" s="21" t="s">
        <v>35</v>
      </c>
      <c r="B76" s="19" t="s">
        <v>27</v>
      </c>
      <c r="C76" s="19" t="s">
        <v>28</v>
      </c>
      <c r="D76" s="19" t="s">
        <v>29</v>
      </c>
      <c r="E76" s="19" t="s">
        <v>30</v>
      </c>
      <c r="F76" s="19" t="s">
        <v>230</v>
      </c>
      <c r="G76" s="19" t="s">
        <v>317</v>
      </c>
      <c r="H76" s="19" t="s">
        <v>318</v>
      </c>
      <c r="I76" s="19" t="s">
        <v>518</v>
      </c>
      <c r="J76" s="19" t="s">
        <v>519</v>
      </c>
      <c r="K76" s="19" t="s">
        <v>25</v>
      </c>
      <c r="L76" s="42" t="s">
        <v>26</v>
      </c>
    </row>
    <row r="77" spans="1:12" ht="15.75" thickBot="1" x14ac:dyDescent="0.3">
      <c r="A77" s="82" t="s">
        <v>50</v>
      </c>
      <c r="B77" s="257">
        <v>105665.36</v>
      </c>
      <c r="C77" s="258"/>
      <c r="D77" s="259"/>
      <c r="E77" s="248"/>
      <c r="F77" s="248"/>
      <c r="G77" s="248"/>
      <c r="H77" s="251">
        <f>E46+E47+E48</f>
        <v>1345</v>
      </c>
      <c r="I77" s="248"/>
      <c r="J77" s="248"/>
      <c r="K77" s="249">
        <f>SUM(B77:J77)</f>
        <v>107010.36</v>
      </c>
      <c r="L77" s="250">
        <f>K77/K86</f>
        <v>7.1056025372646117E-2</v>
      </c>
    </row>
    <row r="78" spans="1:12" ht="23.25" thickBot="1" x14ac:dyDescent="0.3">
      <c r="A78" s="82" t="s">
        <v>51</v>
      </c>
      <c r="B78" s="257">
        <v>24400</v>
      </c>
      <c r="C78" s="258"/>
      <c r="D78" s="259"/>
      <c r="E78" s="248"/>
      <c r="F78" s="248"/>
      <c r="G78" s="248"/>
      <c r="H78" s="251">
        <v>77000</v>
      </c>
      <c r="I78" s="251">
        <v>18450</v>
      </c>
      <c r="J78" s="251">
        <v>24468</v>
      </c>
      <c r="K78" s="249">
        <f t="shared" ref="K78:K84" si="9">SUM(B78:J78)</f>
        <v>144318</v>
      </c>
      <c r="L78" s="250">
        <f>K78/K86</f>
        <v>9.5828697985218841E-2</v>
      </c>
    </row>
    <row r="79" spans="1:12" ht="23.25" thickBot="1" x14ac:dyDescent="0.3">
      <c r="A79" s="82" t="s">
        <v>52</v>
      </c>
      <c r="B79" s="260"/>
      <c r="C79" s="258"/>
      <c r="D79" s="259"/>
      <c r="E79" s="248"/>
      <c r="F79" s="248"/>
      <c r="G79" s="248"/>
      <c r="H79" s="248"/>
      <c r="I79" s="248"/>
      <c r="J79" s="248"/>
      <c r="K79" s="249">
        <f t="shared" si="9"/>
        <v>0</v>
      </c>
      <c r="L79" s="250">
        <f>K79/K86</f>
        <v>0</v>
      </c>
    </row>
    <row r="80" spans="1:12" ht="23.25" thickBot="1" x14ac:dyDescent="0.3">
      <c r="A80" s="82" t="s">
        <v>53</v>
      </c>
      <c r="B80" s="260"/>
      <c r="C80" s="258"/>
      <c r="D80" s="261">
        <v>219999.99</v>
      </c>
      <c r="E80" s="248"/>
      <c r="F80" s="248"/>
      <c r="G80" s="248"/>
      <c r="H80" s="248"/>
      <c r="I80" s="248"/>
      <c r="J80" s="248"/>
      <c r="K80" s="249">
        <f t="shared" si="9"/>
        <v>219999.99</v>
      </c>
      <c r="L80" s="250">
        <f>K80/K86</f>
        <v>0.1460823500773373</v>
      </c>
    </row>
    <row r="81" spans="1:12" ht="23.25" thickBot="1" x14ac:dyDescent="0.3">
      <c r="A81" s="82" t="s">
        <v>54</v>
      </c>
      <c r="B81" s="260"/>
      <c r="C81" s="258"/>
      <c r="D81" s="259"/>
      <c r="E81" s="248"/>
      <c r="F81" s="248"/>
      <c r="G81" s="248"/>
      <c r="H81" s="248"/>
      <c r="I81" s="248"/>
      <c r="J81" s="248"/>
      <c r="K81" s="249">
        <f t="shared" si="9"/>
        <v>0</v>
      </c>
      <c r="L81" s="250">
        <f>K81/K86</f>
        <v>0</v>
      </c>
    </row>
    <row r="82" spans="1:12" ht="15.75" thickBot="1" x14ac:dyDescent="0.3">
      <c r="A82" s="82" t="s">
        <v>55</v>
      </c>
      <c r="B82" s="260"/>
      <c r="C82" s="258"/>
      <c r="D82" s="259"/>
      <c r="E82" s="248"/>
      <c r="F82" s="248"/>
      <c r="G82" s="248"/>
      <c r="H82" s="248"/>
      <c r="I82" s="248"/>
      <c r="J82" s="248"/>
      <c r="K82" s="249">
        <f t="shared" si="9"/>
        <v>0</v>
      </c>
      <c r="L82" s="250">
        <f>K82/K86</f>
        <v>0</v>
      </c>
    </row>
    <row r="83" spans="1:12" ht="23.25" thickBot="1" x14ac:dyDescent="0.3">
      <c r="A83" s="82" t="s">
        <v>56</v>
      </c>
      <c r="B83" s="260"/>
      <c r="C83" s="258"/>
      <c r="D83" s="259"/>
      <c r="E83" s="248"/>
      <c r="F83" s="248"/>
      <c r="G83" s="248"/>
      <c r="H83" s="248"/>
      <c r="I83" s="248"/>
      <c r="J83" s="251">
        <v>3474.4</v>
      </c>
      <c r="K83" s="249">
        <f t="shared" si="9"/>
        <v>3474.4</v>
      </c>
      <c r="L83" s="252">
        <f>K83/K86</f>
        <v>2.3070388189958585E-3</v>
      </c>
    </row>
    <row r="84" spans="1:12" ht="23.25" thickBot="1" x14ac:dyDescent="0.3">
      <c r="A84" s="82" t="s">
        <v>57</v>
      </c>
      <c r="B84" s="260"/>
      <c r="C84" s="262">
        <v>60000</v>
      </c>
      <c r="D84" s="259"/>
      <c r="E84" s="251">
        <v>624000</v>
      </c>
      <c r="F84" s="251">
        <v>164000</v>
      </c>
      <c r="G84" s="251">
        <v>90000</v>
      </c>
      <c r="H84" s="248"/>
      <c r="I84" s="248"/>
      <c r="J84" s="248"/>
      <c r="K84" s="249">
        <f t="shared" si="9"/>
        <v>938000</v>
      </c>
      <c r="L84" s="252">
        <f>K84/K86</f>
        <v>0.62284204818619482</v>
      </c>
    </row>
    <row r="85" spans="1:12" ht="15.75" thickBot="1" x14ac:dyDescent="0.3">
      <c r="A85" s="82" t="s">
        <v>32</v>
      </c>
      <c r="B85" s="260"/>
      <c r="C85" s="263"/>
      <c r="D85" s="259"/>
      <c r="E85" s="248"/>
      <c r="F85" s="248"/>
      <c r="G85" s="248"/>
      <c r="H85" s="248"/>
      <c r="I85" s="248"/>
      <c r="J85" s="248"/>
      <c r="K85" s="249">
        <f>E69</f>
        <v>93197.050000000221</v>
      </c>
      <c r="L85" s="252">
        <f>K85/K86</f>
        <v>6.1883839559606982E-2</v>
      </c>
    </row>
    <row r="86" spans="1:12" ht="15.75" thickBot="1" x14ac:dyDescent="0.3">
      <c r="A86" s="19" t="s">
        <v>33</v>
      </c>
      <c r="B86" s="257">
        <f>SUM(B77:B85)</f>
        <v>130065.36</v>
      </c>
      <c r="C86" s="264">
        <f t="shared" ref="C86:K86" si="10">SUM(C77:C85)</f>
        <v>60000</v>
      </c>
      <c r="D86" s="257">
        <f t="shared" si="10"/>
        <v>219999.99</v>
      </c>
      <c r="E86" s="257">
        <f t="shared" si="10"/>
        <v>624000</v>
      </c>
      <c r="F86" s="257">
        <f t="shared" si="10"/>
        <v>164000</v>
      </c>
      <c r="G86" s="257">
        <f t="shared" si="10"/>
        <v>90000</v>
      </c>
      <c r="H86" s="257">
        <f t="shared" si="10"/>
        <v>78345</v>
      </c>
      <c r="I86" s="257">
        <f t="shared" si="10"/>
        <v>18450</v>
      </c>
      <c r="J86" s="257">
        <f t="shared" si="10"/>
        <v>27942.400000000001</v>
      </c>
      <c r="K86" s="253">
        <f t="shared" si="10"/>
        <v>1505999.8000000003</v>
      </c>
      <c r="L86" s="254"/>
    </row>
    <row r="87" spans="1:12" ht="15.75" thickBot="1" x14ac:dyDescent="0.3">
      <c r="A87" s="19" t="s">
        <v>34</v>
      </c>
      <c r="B87" s="265">
        <f>B86/K86</f>
        <v>8.636479234592194E-2</v>
      </c>
      <c r="C87" s="266">
        <f>C86/K86</f>
        <v>3.9840642741121209E-2</v>
      </c>
      <c r="D87" s="267">
        <f>D86/K86</f>
        <v>0.1460823500773373</v>
      </c>
      <c r="E87" s="255">
        <v>0.44209612367072271</v>
      </c>
      <c r="F87" s="255">
        <f>F86/K86</f>
        <v>0.1088977568257313</v>
      </c>
      <c r="G87" s="255">
        <f>G86/K86</f>
        <v>5.9760964111681809E-2</v>
      </c>
      <c r="H87" s="255">
        <f>H86/K86</f>
        <v>5.2021919259219014E-2</v>
      </c>
      <c r="I87" s="255">
        <f>I86/K86</f>
        <v>1.2250997642894772E-2</v>
      </c>
      <c r="J87" s="255">
        <f>J86/K86</f>
        <v>1.8554052928825088E-2</v>
      </c>
      <c r="K87" s="256">
        <f>SUM(L77:L85)</f>
        <v>0.99999999999999989</v>
      </c>
      <c r="L87" s="254"/>
    </row>
    <row r="88" spans="1:12" x14ac:dyDescent="0.25">
      <c r="L88" s="15"/>
    </row>
    <row r="91" spans="1:12" x14ac:dyDescent="0.25">
      <c r="C91" s="282"/>
      <c r="D91" s="283"/>
    </row>
    <row r="92" spans="1:12" x14ac:dyDescent="0.25">
      <c r="A92" s="292" t="s">
        <v>538</v>
      </c>
      <c r="B92" s="294">
        <f>K77+K78+K83+K84</f>
        <v>1192802.76</v>
      </c>
    </row>
    <row r="93" spans="1:12" x14ac:dyDescent="0.25">
      <c r="A93" s="292" t="s">
        <v>539</v>
      </c>
      <c r="B93" s="294">
        <f>ROUND(B92*6.7%,2)</f>
        <v>79917.78</v>
      </c>
      <c r="J93" s="282">
        <f>54204-(I86+J86)</f>
        <v>7811.5999999999985</v>
      </c>
    </row>
    <row r="94" spans="1:12" x14ac:dyDescent="0.25">
      <c r="A94" s="293" t="s">
        <v>34</v>
      </c>
      <c r="B94" s="295">
        <f>(B92+B93)/E70</f>
        <v>0.84510006677889293</v>
      </c>
    </row>
  </sheetData>
  <mergeCells count="32">
    <mergeCell ref="A72:D72"/>
    <mergeCell ref="A73:D73"/>
    <mergeCell ref="A54:D54"/>
    <mergeCell ref="A55:G55"/>
    <mergeCell ref="A66:D66"/>
    <mergeCell ref="A67:D67"/>
    <mergeCell ref="A68:G68"/>
    <mergeCell ref="A49:D49"/>
    <mergeCell ref="A50:C50"/>
    <mergeCell ref="D50:F50"/>
    <mergeCell ref="A69:D69"/>
    <mergeCell ref="A70:D70"/>
    <mergeCell ref="A35:C35"/>
    <mergeCell ref="A39:D39"/>
    <mergeCell ref="A40:G40"/>
    <mergeCell ref="A42:D42"/>
    <mergeCell ref="A43:C43"/>
    <mergeCell ref="B3:G3"/>
    <mergeCell ref="B4:G4"/>
    <mergeCell ref="B5:G5"/>
    <mergeCell ref="B6:G6"/>
    <mergeCell ref="B7:G7"/>
    <mergeCell ref="B8:G8"/>
    <mergeCell ref="A20:D20"/>
    <mergeCell ref="A11:G11"/>
    <mergeCell ref="A12:G12"/>
    <mergeCell ref="A34:D34"/>
    <mergeCell ref="A23:D23"/>
    <mergeCell ref="A24:G24"/>
    <mergeCell ref="A21:G21"/>
    <mergeCell ref="A26:D26"/>
    <mergeCell ref="A27:G27"/>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[5]Sheet1!#REF!</xm:f>
          </x14:formula1>
          <xm:sqref>F51:F54 F56:F65</xm:sqref>
        </x14:dataValidation>
        <x14:dataValidation type="list" allowBlank="1" showInputMessage="1" showErrorMessage="1">
          <x14:formula1>
            <xm:f>[4]Sheet1!#REF!</xm:f>
          </x14:formula1>
          <xm:sqref>F25:F26 F28:F34 F13:F20 F22:F23 F36:F39 F41:F42 F66 F44:F49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3"/>
  <sheetViews>
    <sheetView topLeftCell="A67" workbookViewId="0">
      <selection activeCell="B91" sqref="B91"/>
    </sheetView>
  </sheetViews>
  <sheetFormatPr defaultRowHeight="15" x14ac:dyDescent="0.25"/>
  <cols>
    <col min="1" max="1" width="41" customWidth="1"/>
    <col min="2" max="2" width="11.42578125" bestFit="1" customWidth="1"/>
    <col min="3" max="5" width="10.5703125" customWidth="1"/>
    <col min="6" max="6" width="15.28515625" customWidth="1"/>
    <col min="7" max="7" width="18.7109375" customWidth="1"/>
    <col min="8" max="8" width="21.85546875" customWidth="1"/>
    <col min="9" max="13" width="10.5703125" customWidth="1"/>
    <col min="14" max="14" width="11.140625" customWidth="1"/>
    <col min="15" max="15" width="14.140625" customWidth="1"/>
  </cols>
  <sheetData>
    <row r="1" spans="1:15" x14ac:dyDescent="0.25">
      <c r="A1" s="13" t="s">
        <v>107</v>
      </c>
      <c r="B1" s="14"/>
      <c r="C1" s="14"/>
      <c r="D1" s="15"/>
      <c r="E1" s="15"/>
      <c r="F1" s="15"/>
      <c r="G1" s="15"/>
      <c r="H1" s="29"/>
      <c r="I1" s="15"/>
      <c r="J1" s="15"/>
      <c r="K1" s="15"/>
      <c r="L1" s="15"/>
      <c r="M1" s="15"/>
      <c r="N1" s="15"/>
      <c r="O1" s="15"/>
    </row>
    <row r="2" spans="1:15" ht="15.75" thickBot="1" x14ac:dyDescent="0.3">
      <c r="A2" s="15"/>
      <c r="B2" s="15"/>
      <c r="C2" s="15"/>
      <c r="D2" s="15"/>
      <c r="E2" s="15"/>
      <c r="F2" s="15"/>
      <c r="G2" s="15"/>
      <c r="H2" s="29"/>
      <c r="I2" s="15"/>
      <c r="J2" s="15"/>
      <c r="K2" s="15"/>
      <c r="L2" s="15"/>
      <c r="M2" s="15"/>
      <c r="N2" s="15"/>
      <c r="O2" s="15"/>
    </row>
    <row r="3" spans="1:15" ht="15.75" thickBot="1" x14ac:dyDescent="0.3">
      <c r="A3" s="7" t="s">
        <v>7</v>
      </c>
      <c r="B3" s="499" t="s">
        <v>171</v>
      </c>
      <c r="C3" s="500"/>
      <c r="D3" s="500"/>
      <c r="E3" s="500"/>
      <c r="F3" s="500"/>
      <c r="G3" s="501"/>
      <c r="H3" s="30"/>
      <c r="I3" s="15"/>
      <c r="J3" s="15"/>
      <c r="K3" s="15"/>
      <c r="L3" s="15"/>
      <c r="M3" s="15"/>
      <c r="N3" s="15"/>
      <c r="O3" s="15"/>
    </row>
    <row r="4" spans="1:15" ht="31.5" customHeight="1" thickBot="1" x14ac:dyDescent="0.3">
      <c r="A4" s="85" t="s">
        <v>15</v>
      </c>
      <c r="B4" s="535" t="s">
        <v>108</v>
      </c>
      <c r="C4" s="536"/>
      <c r="D4" s="536"/>
      <c r="E4" s="536"/>
      <c r="F4" s="536"/>
      <c r="G4" s="537"/>
      <c r="H4" s="30"/>
      <c r="I4" s="15"/>
      <c r="J4" s="15"/>
      <c r="K4" s="15"/>
      <c r="L4" s="15"/>
      <c r="M4" s="15"/>
      <c r="N4" s="15"/>
      <c r="O4" s="15"/>
    </row>
    <row r="5" spans="1:15" ht="15.75" thickBot="1" x14ac:dyDescent="0.3">
      <c r="A5" s="8" t="s">
        <v>8</v>
      </c>
      <c r="B5" s="499" t="s">
        <v>109</v>
      </c>
      <c r="C5" s="500"/>
      <c r="D5" s="500"/>
      <c r="E5" s="500"/>
      <c r="F5" s="500"/>
      <c r="G5" s="501"/>
      <c r="H5" s="30"/>
      <c r="I5" s="15"/>
      <c r="J5" s="15"/>
      <c r="K5" s="15"/>
      <c r="L5" s="15"/>
      <c r="M5" s="15"/>
      <c r="N5" s="15"/>
      <c r="O5" s="15"/>
    </row>
    <row r="6" spans="1:15" ht="15.75" thickBot="1" x14ac:dyDescent="0.3">
      <c r="A6" s="8" t="s">
        <v>16</v>
      </c>
      <c r="B6" s="538">
        <v>4000000</v>
      </c>
      <c r="C6" s="503"/>
      <c r="D6" s="503"/>
      <c r="E6" s="503"/>
      <c r="F6" s="503"/>
      <c r="G6" s="504"/>
      <c r="H6" s="31"/>
      <c r="I6" s="15"/>
      <c r="J6" s="15"/>
      <c r="K6" s="15"/>
      <c r="L6" s="15"/>
      <c r="M6" s="15"/>
      <c r="N6" s="15"/>
      <c r="O6" s="15"/>
    </row>
    <row r="7" spans="1:15" ht="15.75" thickBot="1" x14ac:dyDescent="0.3">
      <c r="A7" s="8" t="s">
        <v>2</v>
      </c>
      <c r="B7" s="505">
        <v>1</v>
      </c>
      <c r="C7" s="506"/>
      <c r="D7" s="506"/>
      <c r="E7" s="506"/>
      <c r="F7" s="506"/>
      <c r="G7" s="507"/>
      <c r="H7" s="32"/>
      <c r="I7" s="15"/>
      <c r="J7" s="15"/>
      <c r="K7" s="15"/>
      <c r="L7" s="15"/>
      <c r="M7" s="15"/>
      <c r="N7" s="15"/>
      <c r="O7" s="15"/>
    </row>
    <row r="8" spans="1:15" ht="15.75" thickBot="1" x14ac:dyDescent="0.3">
      <c r="A8" s="8" t="s">
        <v>9</v>
      </c>
      <c r="B8" s="508" t="s">
        <v>110</v>
      </c>
      <c r="C8" s="509"/>
      <c r="D8" s="509"/>
      <c r="E8" s="509"/>
      <c r="F8" s="509"/>
      <c r="G8" s="510"/>
      <c r="H8" s="32"/>
      <c r="I8" s="15"/>
      <c r="J8" s="15"/>
      <c r="K8" s="15"/>
      <c r="L8" s="15"/>
      <c r="M8" s="15"/>
      <c r="N8" s="15"/>
      <c r="O8" s="15"/>
    </row>
    <row r="9" spans="1:15" ht="15.75" thickBot="1" x14ac:dyDescent="0.3">
      <c r="A9" s="23"/>
      <c r="B9" s="24"/>
      <c r="C9" s="22"/>
      <c r="D9" s="22"/>
      <c r="E9" s="22"/>
      <c r="F9" s="22"/>
      <c r="G9" s="22"/>
      <c r="H9" s="33"/>
      <c r="I9" s="15"/>
      <c r="J9" s="15"/>
      <c r="K9" s="15"/>
      <c r="L9" s="15"/>
      <c r="M9" s="15"/>
      <c r="N9" s="15"/>
      <c r="O9" s="15"/>
    </row>
    <row r="10" spans="1:15" ht="34.5" thickBot="1" x14ac:dyDescent="0.3">
      <c r="A10" s="28"/>
      <c r="B10" s="26" t="s">
        <v>0</v>
      </c>
      <c r="C10" s="26" t="s">
        <v>14</v>
      </c>
      <c r="D10" s="26" t="s">
        <v>23</v>
      </c>
      <c r="E10" s="26" t="s">
        <v>18</v>
      </c>
      <c r="F10" s="26" t="s">
        <v>10</v>
      </c>
      <c r="G10" s="27" t="s">
        <v>1</v>
      </c>
      <c r="H10" s="34" t="s">
        <v>36</v>
      </c>
      <c r="I10" s="15"/>
      <c r="J10" s="15"/>
      <c r="K10" s="15"/>
      <c r="L10" s="15"/>
      <c r="M10" s="15"/>
      <c r="N10" s="15"/>
      <c r="O10" s="15"/>
    </row>
    <row r="11" spans="1:15" ht="15.75" thickBot="1" x14ac:dyDescent="0.3">
      <c r="A11" s="511" t="s">
        <v>21</v>
      </c>
      <c r="B11" s="512"/>
      <c r="C11" s="512"/>
      <c r="D11" s="512"/>
      <c r="E11" s="512"/>
      <c r="F11" s="512"/>
      <c r="G11" s="513"/>
      <c r="H11" s="35"/>
      <c r="I11" s="15"/>
      <c r="J11" s="15"/>
      <c r="K11" s="15"/>
      <c r="L11" s="15"/>
      <c r="M11" s="15"/>
      <c r="N11" s="15"/>
      <c r="O11" s="15"/>
    </row>
    <row r="12" spans="1:15" ht="15.75" thickBot="1" x14ac:dyDescent="0.3">
      <c r="A12" s="514" t="s">
        <v>24</v>
      </c>
      <c r="B12" s="515"/>
      <c r="C12" s="515"/>
      <c r="D12" s="515"/>
      <c r="E12" s="515"/>
      <c r="F12" s="515"/>
      <c r="G12" s="516"/>
      <c r="H12" s="36"/>
      <c r="I12" s="15"/>
      <c r="J12" s="15"/>
      <c r="K12" s="15"/>
      <c r="L12" s="15"/>
      <c r="M12" s="15"/>
      <c r="N12" s="15"/>
      <c r="O12" s="15"/>
    </row>
    <row r="13" spans="1:15" ht="90.75" thickBot="1" x14ac:dyDescent="0.3">
      <c r="A13" s="1" t="s">
        <v>111</v>
      </c>
      <c r="B13" s="2"/>
      <c r="C13" s="3">
        <v>1</v>
      </c>
      <c r="D13" s="49">
        <v>10000</v>
      </c>
      <c r="E13" s="49">
        <f>C13*D13</f>
        <v>10000</v>
      </c>
      <c r="F13" s="12" t="s">
        <v>57</v>
      </c>
      <c r="G13" s="5"/>
      <c r="H13" s="25" t="str">
        <f>IF(F13=0,"  ",VLOOKUP(F13,[6]Sheet1!$A$1:$B$8,2,FALSE))</f>
        <v>Include a reference to the relevant article of the project contract.
Examples of costs: information/publicity, translations, specific evaluation, audits, charges for financial transactions, etc.</v>
      </c>
      <c r="I13" s="15"/>
      <c r="J13" s="15"/>
      <c r="K13" s="15"/>
      <c r="L13" s="15"/>
      <c r="M13" s="15"/>
      <c r="N13" s="15"/>
      <c r="O13" s="15"/>
    </row>
    <row r="14" spans="1:15" ht="90.75" thickBot="1" x14ac:dyDescent="0.3">
      <c r="A14" s="1" t="s">
        <v>112</v>
      </c>
      <c r="B14" s="2"/>
      <c r="C14" s="3">
        <v>1</v>
      </c>
      <c r="D14" s="49">
        <v>10000</v>
      </c>
      <c r="E14" s="49">
        <f>C14*D14</f>
        <v>10000</v>
      </c>
      <c r="F14" s="12" t="s">
        <v>57</v>
      </c>
      <c r="G14" s="5"/>
      <c r="H14" s="25" t="str">
        <f>IF(F13=0,"  ",VLOOKUP(F13,[6]Sheet1!$A$1:$B$8,2,FALSE))</f>
        <v>Include a reference to the relevant article of the project contract.
Examples of costs: information/publicity, translations, specific evaluation, audits, charges for financial transactions, etc.</v>
      </c>
      <c r="I14" s="15"/>
      <c r="J14" s="15"/>
      <c r="K14" s="15"/>
      <c r="L14" s="15"/>
      <c r="M14" s="15"/>
      <c r="N14" s="15"/>
      <c r="O14" s="15"/>
    </row>
    <row r="15" spans="1:15" ht="34.5" thickBot="1" x14ac:dyDescent="0.3">
      <c r="A15" s="1" t="s">
        <v>205</v>
      </c>
      <c r="B15" s="56" t="s">
        <v>232</v>
      </c>
      <c r="C15" s="57">
        <v>1920</v>
      </c>
      <c r="D15" s="298">
        <v>5.5</v>
      </c>
      <c r="E15" s="49">
        <f>C15*D15</f>
        <v>10560</v>
      </c>
      <c r="F15" s="12" t="s">
        <v>50</v>
      </c>
      <c r="G15" s="299"/>
      <c r="H15" s="300" t="s">
        <v>540</v>
      </c>
      <c r="I15" s="15"/>
      <c r="J15" s="15"/>
      <c r="K15" s="15"/>
      <c r="L15" s="15"/>
      <c r="M15" s="15"/>
      <c r="N15" s="15"/>
      <c r="O15" s="15"/>
    </row>
    <row r="16" spans="1:15" ht="34.5" thickBot="1" x14ac:dyDescent="0.3">
      <c r="A16" s="1" t="s">
        <v>206</v>
      </c>
      <c r="B16" s="56" t="s">
        <v>232</v>
      </c>
      <c r="C16" s="57">
        <v>1920</v>
      </c>
      <c r="D16" s="298">
        <v>5.5</v>
      </c>
      <c r="E16" s="49">
        <f>C16*D16</f>
        <v>10560</v>
      </c>
      <c r="F16" s="12" t="s">
        <v>50</v>
      </c>
      <c r="G16" s="299"/>
      <c r="H16" s="300" t="s">
        <v>540</v>
      </c>
      <c r="I16" s="15"/>
      <c r="J16" s="15"/>
      <c r="K16" s="15"/>
      <c r="L16" s="15"/>
      <c r="M16" s="15"/>
      <c r="N16" s="15"/>
      <c r="O16" s="15"/>
    </row>
    <row r="17" spans="1:15" ht="34.5" thickBot="1" x14ac:dyDescent="0.3">
      <c r="A17" s="55" t="s">
        <v>208</v>
      </c>
      <c r="B17" s="56" t="s">
        <v>232</v>
      </c>
      <c r="C17" s="57">
        <v>1920</v>
      </c>
      <c r="D17" s="298">
        <v>5.5</v>
      </c>
      <c r="E17" s="49">
        <f t="shared" ref="E17:E21" si="0">C17*D17</f>
        <v>10560</v>
      </c>
      <c r="F17" s="12" t="s">
        <v>50</v>
      </c>
      <c r="G17" s="299"/>
      <c r="H17" s="300" t="s">
        <v>540</v>
      </c>
      <c r="I17" s="15"/>
      <c r="J17" s="15"/>
      <c r="K17" s="15"/>
      <c r="L17" s="15"/>
      <c r="M17" s="15"/>
      <c r="N17" s="15"/>
      <c r="O17" s="15"/>
    </row>
    <row r="18" spans="1:15" ht="34.5" thickBot="1" x14ac:dyDescent="0.3">
      <c r="A18" s="55" t="s">
        <v>209</v>
      </c>
      <c r="B18" s="56" t="s">
        <v>232</v>
      </c>
      <c r="C18" s="57">
        <v>1920</v>
      </c>
      <c r="D18" s="298">
        <v>5.5</v>
      </c>
      <c r="E18" s="49">
        <f t="shared" si="0"/>
        <v>10560</v>
      </c>
      <c r="F18" s="12" t="s">
        <v>50</v>
      </c>
      <c r="G18" s="299"/>
      <c r="H18" s="300" t="s">
        <v>540</v>
      </c>
      <c r="I18" s="15"/>
      <c r="J18" s="15"/>
      <c r="K18" s="15"/>
      <c r="L18" s="15"/>
      <c r="M18" s="15"/>
      <c r="N18" s="15"/>
      <c r="O18" s="15"/>
    </row>
    <row r="19" spans="1:15" ht="34.5" thickBot="1" x14ac:dyDescent="0.3">
      <c r="A19" s="55" t="s">
        <v>207</v>
      </c>
      <c r="B19" s="56" t="s">
        <v>232</v>
      </c>
      <c r="C19" s="57">
        <v>1920</v>
      </c>
      <c r="D19" s="298">
        <v>5.5</v>
      </c>
      <c r="E19" s="49">
        <f t="shared" si="0"/>
        <v>10560</v>
      </c>
      <c r="F19" s="12" t="s">
        <v>50</v>
      </c>
      <c r="G19" s="299"/>
      <c r="H19" s="300" t="s">
        <v>540</v>
      </c>
      <c r="I19" s="15"/>
      <c r="J19" s="15"/>
      <c r="K19" s="15"/>
      <c r="L19" s="15"/>
      <c r="M19" s="15"/>
      <c r="N19" s="15"/>
      <c r="O19" s="15"/>
    </row>
    <row r="20" spans="1:15" ht="34.5" thickBot="1" x14ac:dyDescent="0.3">
      <c r="A20" s="55" t="s">
        <v>541</v>
      </c>
      <c r="B20" s="56" t="s">
        <v>232</v>
      </c>
      <c r="C20" s="57">
        <v>1920</v>
      </c>
      <c r="D20" s="298">
        <v>5.5</v>
      </c>
      <c r="E20" s="49">
        <f t="shared" si="0"/>
        <v>10560</v>
      </c>
      <c r="F20" s="12" t="s">
        <v>50</v>
      </c>
      <c r="G20" s="299"/>
      <c r="H20" s="300" t="s">
        <v>540</v>
      </c>
      <c r="I20" s="15"/>
      <c r="J20" s="15"/>
      <c r="K20" s="15"/>
      <c r="L20" s="15"/>
      <c r="M20" s="15"/>
      <c r="N20" s="15"/>
      <c r="O20" s="15"/>
    </row>
    <row r="21" spans="1:15" ht="34.5" thickBot="1" x14ac:dyDescent="0.3">
      <c r="A21" s="55" t="s">
        <v>542</v>
      </c>
      <c r="B21" s="56" t="s">
        <v>232</v>
      </c>
      <c r="C21" s="57">
        <v>19200</v>
      </c>
      <c r="D21" s="298">
        <v>5.5</v>
      </c>
      <c r="E21" s="58">
        <f t="shared" si="0"/>
        <v>105600</v>
      </c>
      <c r="F21" s="12" t="s">
        <v>50</v>
      </c>
      <c r="G21" s="299"/>
      <c r="H21" s="300" t="s">
        <v>540</v>
      </c>
      <c r="I21" s="15"/>
      <c r="J21" s="15"/>
      <c r="K21" s="15"/>
      <c r="L21" s="15"/>
      <c r="M21" s="15"/>
      <c r="N21" s="15"/>
      <c r="O21" s="15"/>
    </row>
    <row r="22" spans="1:15" ht="15.75" thickBot="1" x14ac:dyDescent="0.3">
      <c r="A22" s="517" t="s">
        <v>3</v>
      </c>
      <c r="B22" s="518"/>
      <c r="C22" s="518"/>
      <c r="D22" s="519"/>
      <c r="E22" s="86">
        <f>SUM(E13:E21)</f>
        <v>188960</v>
      </c>
      <c r="F22" s="12"/>
      <c r="G22" s="87"/>
      <c r="H22" s="25" t="str">
        <f>IF(F22=0," ",VLOOKUP(F22,[6]Sheet1!$A$1:$B$8,2,FALSE))</f>
        <v xml:space="preserve"> </v>
      </c>
      <c r="I22" s="15"/>
      <c r="J22" s="15"/>
      <c r="K22" s="15"/>
      <c r="L22" s="15"/>
      <c r="M22" s="15"/>
      <c r="N22" s="15"/>
      <c r="O22" s="15"/>
    </row>
    <row r="23" spans="1:15" ht="15.75" thickBot="1" x14ac:dyDescent="0.3">
      <c r="A23" s="520" t="s">
        <v>113</v>
      </c>
      <c r="B23" s="521"/>
      <c r="C23" s="521"/>
      <c r="D23" s="521"/>
      <c r="E23" s="521"/>
      <c r="F23" s="521"/>
      <c r="G23" s="522"/>
      <c r="H23" s="37"/>
      <c r="I23" s="15"/>
      <c r="J23" s="15"/>
      <c r="K23" s="15"/>
      <c r="L23" s="15"/>
      <c r="M23" s="15"/>
      <c r="N23" s="15"/>
      <c r="O23" s="15"/>
    </row>
    <row r="24" spans="1:15" ht="79.5" thickBot="1" x14ac:dyDescent="0.3">
      <c r="A24" s="1" t="s">
        <v>114</v>
      </c>
      <c r="B24" s="88"/>
      <c r="C24" s="88">
        <v>20</v>
      </c>
      <c r="D24" s="89">
        <v>20000</v>
      </c>
      <c r="E24" s="89">
        <f>C24*D24</f>
        <v>400000</v>
      </c>
      <c r="F24" s="12" t="s">
        <v>56</v>
      </c>
      <c r="G24" s="90"/>
      <c r="H24" s="25" t="str">
        <f>IF(F24=0," ",VLOOKUP(F24,[6]Sheet1!$A$1:$B$8,2,FALSE))</f>
        <v>Awarding should comply with the applicable rules on public procurement  (Regulations Art. 8.15).</v>
      </c>
      <c r="I24" s="91"/>
      <c r="J24" s="91"/>
      <c r="K24" s="91"/>
      <c r="L24" s="91"/>
      <c r="M24" s="91"/>
      <c r="N24" s="91"/>
      <c r="O24" s="91"/>
    </row>
    <row r="25" spans="1:15" ht="79.5" thickBot="1" x14ac:dyDescent="0.3">
      <c r="A25" s="1" t="s">
        <v>115</v>
      </c>
      <c r="B25" s="92"/>
      <c r="C25" s="3">
        <v>1</v>
      </c>
      <c r="D25" s="49">
        <v>300000</v>
      </c>
      <c r="E25" s="49">
        <f>C25*D25</f>
        <v>300000</v>
      </c>
      <c r="F25" s="12" t="s">
        <v>56</v>
      </c>
      <c r="G25" s="93"/>
      <c r="H25" s="25" t="str">
        <f>IF(F25=0," ",VLOOKUP(F25,[6]Sheet1!$A$1:$B$8,2,FALSE))</f>
        <v>Awarding should comply with the applicable rules on public procurement  (Regulations Art. 8.15).</v>
      </c>
      <c r="I25" s="15"/>
      <c r="J25" s="15"/>
      <c r="K25" s="15"/>
      <c r="L25" s="15"/>
      <c r="M25" s="15"/>
      <c r="N25" s="15"/>
      <c r="O25" s="15"/>
    </row>
    <row r="26" spans="1:15" ht="15.75" thickBot="1" x14ac:dyDescent="0.3">
      <c r="A26" s="517" t="s">
        <v>4</v>
      </c>
      <c r="B26" s="518"/>
      <c r="C26" s="518"/>
      <c r="D26" s="523"/>
      <c r="E26" s="86">
        <f>SUM(E24:E25)</f>
        <v>700000</v>
      </c>
      <c r="F26" s="12"/>
      <c r="G26" s="93"/>
      <c r="H26" s="25" t="str">
        <f>IF(F26=0," ",VLOOKUP(F26,[6]Sheet1!$A$1:$B$8,2,FALSE))</f>
        <v xml:space="preserve"> </v>
      </c>
      <c r="I26" s="15"/>
      <c r="J26" s="15"/>
      <c r="K26" s="15"/>
      <c r="L26" s="15"/>
      <c r="M26" s="15"/>
      <c r="N26" s="15"/>
      <c r="O26" s="15"/>
    </row>
    <row r="27" spans="1:15" ht="15.75" thickBot="1" x14ac:dyDescent="0.3">
      <c r="A27" s="520" t="s">
        <v>116</v>
      </c>
      <c r="B27" s="521"/>
      <c r="C27" s="521"/>
      <c r="D27" s="521"/>
      <c r="E27" s="521"/>
      <c r="F27" s="521"/>
      <c r="G27" s="522"/>
      <c r="H27" s="37"/>
      <c r="I27" s="15"/>
      <c r="J27" s="15"/>
      <c r="K27" s="15"/>
      <c r="L27" s="15"/>
      <c r="M27" s="15"/>
      <c r="N27" s="15"/>
      <c r="O27" s="15"/>
    </row>
    <row r="28" spans="1:15" ht="79.5" thickBot="1" x14ac:dyDescent="0.3">
      <c r="A28" s="1" t="s">
        <v>117</v>
      </c>
      <c r="B28" s="88"/>
      <c r="C28" s="88">
        <v>20</v>
      </c>
      <c r="D28" s="89">
        <v>14000</v>
      </c>
      <c r="E28" s="89">
        <f>C28*D28</f>
        <v>280000</v>
      </c>
      <c r="F28" s="12" t="s">
        <v>56</v>
      </c>
      <c r="G28" s="90"/>
      <c r="H28" s="25" t="str">
        <f>IF(F28=0," ",VLOOKUP(F28,[6]Sheet1!$A$1:$B$8,2,FALSE))</f>
        <v>Awarding should comply with the applicable rules on public procurement  (Regulations Art. 8.15).</v>
      </c>
      <c r="I28" s="91"/>
      <c r="J28" s="91"/>
      <c r="K28" s="91"/>
      <c r="L28" s="91"/>
      <c r="M28" s="91"/>
      <c r="N28" s="91"/>
      <c r="O28" s="91"/>
    </row>
    <row r="29" spans="1:15" ht="15.75" thickBot="1" x14ac:dyDescent="0.3">
      <c r="A29" s="517" t="s">
        <v>118</v>
      </c>
      <c r="B29" s="518"/>
      <c r="C29" s="518"/>
      <c r="D29" s="523"/>
      <c r="E29" s="86">
        <f>SUM(E28:E28)</f>
        <v>280000</v>
      </c>
      <c r="F29" s="12"/>
      <c r="G29" s="93"/>
      <c r="H29" s="25" t="str">
        <f>IF(F29=0," ",VLOOKUP(F29,[6]Sheet1!$A$1:$B$8,2,FALSE))</f>
        <v xml:space="preserve"> </v>
      </c>
      <c r="I29" s="15"/>
      <c r="J29" s="15"/>
      <c r="K29" s="15"/>
      <c r="L29" s="15"/>
      <c r="M29" s="15"/>
      <c r="N29" s="15"/>
      <c r="O29" s="15"/>
    </row>
    <row r="30" spans="1:15" ht="15.75" thickBot="1" x14ac:dyDescent="0.3">
      <c r="A30" s="520" t="s">
        <v>119</v>
      </c>
      <c r="B30" s="521"/>
      <c r="C30" s="521"/>
      <c r="D30" s="521"/>
      <c r="E30" s="521"/>
      <c r="F30" s="521"/>
      <c r="G30" s="522"/>
      <c r="H30" s="37"/>
      <c r="I30" s="15"/>
      <c r="J30" s="15"/>
      <c r="K30" s="15"/>
      <c r="L30" s="15"/>
      <c r="M30" s="15"/>
      <c r="N30" s="15"/>
      <c r="O30" s="15"/>
    </row>
    <row r="31" spans="1:15" ht="79.5" thickBot="1" x14ac:dyDescent="0.3">
      <c r="A31" s="1" t="s">
        <v>120</v>
      </c>
      <c r="B31" s="2"/>
      <c r="C31" s="3">
        <v>1</v>
      </c>
      <c r="D31" s="49">
        <v>200000</v>
      </c>
      <c r="E31" s="49">
        <f>C31*D31</f>
        <v>200000</v>
      </c>
      <c r="F31" s="12" t="s">
        <v>56</v>
      </c>
      <c r="G31" s="93"/>
      <c r="H31" s="25" t="str">
        <f>IF(F31=0," ",VLOOKUP(F31,[6]Sheet1!$A$1:$B$8,2,FALSE))</f>
        <v>Awarding should comply with the applicable rules on public procurement  (Regulations Art. 8.15).</v>
      </c>
      <c r="I31" s="15"/>
      <c r="J31" s="15"/>
      <c r="K31" s="15"/>
      <c r="L31" s="15"/>
      <c r="M31" s="15"/>
      <c r="N31" s="15"/>
      <c r="O31" s="15"/>
    </row>
    <row r="32" spans="1:15" ht="15.75" thickBot="1" x14ac:dyDescent="0.3">
      <c r="A32" s="517" t="s">
        <v>6</v>
      </c>
      <c r="B32" s="518"/>
      <c r="C32" s="518"/>
      <c r="D32" s="523"/>
      <c r="E32" s="86">
        <f>SUM(E31:E31)</f>
        <v>200000</v>
      </c>
      <c r="F32" s="12"/>
      <c r="G32" s="93"/>
      <c r="H32" s="25" t="str">
        <f>IF(F32=0," ",VLOOKUP(F32,[6]Sheet1!$A$1:$B$8,2,FALSE))</f>
        <v xml:space="preserve"> </v>
      </c>
      <c r="I32" s="15"/>
      <c r="J32" s="15"/>
      <c r="K32" s="15"/>
      <c r="L32" s="15"/>
      <c r="M32" s="15"/>
      <c r="N32" s="15"/>
      <c r="O32" s="15"/>
    </row>
    <row r="33" spans="1:15" ht="15.75" thickBot="1" x14ac:dyDescent="0.3">
      <c r="A33" s="520" t="s">
        <v>121</v>
      </c>
      <c r="B33" s="521"/>
      <c r="C33" s="521"/>
      <c r="D33" s="521"/>
      <c r="E33" s="521"/>
      <c r="F33" s="521"/>
      <c r="G33" s="522"/>
      <c r="H33" s="37"/>
      <c r="I33" s="15"/>
      <c r="J33" s="15"/>
      <c r="K33" s="15"/>
      <c r="L33" s="15"/>
      <c r="M33" s="15"/>
      <c r="N33" s="15"/>
      <c r="O33" s="15"/>
    </row>
    <row r="34" spans="1:15" ht="79.5" thickBot="1" x14ac:dyDescent="0.3">
      <c r="A34" s="1" t="s">
        <v>122</v>
      </c>
      <c r="B34" s="2"/>
      <c r="C34" s="3">
        <v>1</v>
      </c>
      <c r="D34" s="49">
        <v>180000</v>
      </c>
      <c r="E34" s="49">
        <f>C34*D34</f>
        <v>180000</v>
      </c>
      <c r="F34" s="12" t="s">
        <v>56</v>
      </c>
      <c r="G34" s="93"/>
      <c r="H34" s="25" t="str">
        <f>IF(F34=0," ",VLOOKUP(F34,[6]Sheet1!$A$1:$B$8,2,FALSE))</f>
        <v>Awarding should comply with the applicable rules on public procurement  (Regulations Art. 8.15).</v>
      </c>
      <c r="I34" s="15"/>
      <c r="J34" s="15"/>
      <c r="K34" s="15"/>
      <c r="L34" s="15"/>
      <c r="M34" s="15"/>
      <c r="N34" s="15"/>
      <c r="O34" s="15"/>
    </row>
    <row r="35" spans="1:15" ht="15.75" thickBot="1" x14ac:dyDescent="0.3">
      <c r="A35" s="517" t="s">
        <v>123</v>
      </c>
      <c r="B35" s="518"/>
      <c r="C35" s="518"/>
      <c r="D35" s="523"/>
      <c r="E35" s="86">
        <f>SUM(E34:E34)</f>
        <v>180000</v>
      </c>
      <c r="F35" s="12"/>
      <c r="G35" s="93"/>
      <c r="H35" s="25" t="str">
        <f>IF(F35=0," ",VLOOKUP(F35,[6]Sheet1!$A$1:$B$8,2,FALSE))</f>
        <v xml:space="preserve"> </v>
      </c>
      <c r="I35" s="15"/>
      <c r="J35" s="15"/>
      <c r="K35" s="15"/>
      <c r="L35" s="15"/>
      <c r="M35" s="15"/>
      <c r="N35" s="15"/>
      <c r="O35" s="15"/>
    </row>
    <row r="36" spans="1:15" ht="15.75" thickBot="1" x14ac:dyDescent="0.3">
      <c r="A36" s="520" t="s">
        <v>124</v>
      </c>
      <c r="B36" s="521"/>
      <c r="C36" s="521"/>
      <c r="D36" s="521"/>
      <c r="E36" s="521"/>
      <c r="F36" s="521"/>
      <c r="G36" s="522"/>
      <c r="H36" s="37"/>
      <c r="I36" s="15"/>
      <c r="J36" s="15"/>
      <c r="K36" s="15"/>
      <c r="L36" s="15"/>
      <c r="M36" s="15"/>
      <c r="N36" s="15"/>
      <c r="O36" s="15"/>
    </row>
    <row r="37" spans="1:15" ht="79.5" thickBot="1" x14ac:dyDescent="0.3">
      <c r="A37" s="1" t="s">
        <v>125</v>
      </c>
      <c r="B37" s="2"/>
      <c r="C37" s="3">
        <v>1</v>
      </c>
      <c r="D37" s="49">
        <v>350000</v>
      </c>
      <c r="E37" s="49">
        <f>C37*D37</f>
        <v>350000</v>
      </c>
      <c r="F37" s="12" t="s">
        <v>56</v>
      </c>
      <c r="G37" s="93"/>
      <c r="H37" s="25" t="str">
        <f>IF(F37=0," ",VLOOKUP(F37,[6]Sheet1!$A$1:$B$8,2,FALSE))</f>
        <v>Awarding should comply with the applicable rules on public procurement  (Regulations Art. 8.15).</v>
      </c>
      <c r="I37" s="15"/>
      <c r="J37" s="15"/>
      <c r="K37" s="15"/>
      <c r="L37" s="15"/>
      <c r="M37" s="15"/>
      <c r="N37" s="15"/>
      <c r="O37" s="15"/>
    </row>
    <row r="38" spans="1:15" ht="15.75" thickBot="1" x14ac:dyDescent="0.3">
      <c r="A38" s="517" t="s">
        <v>126</v>
      </c>
      <c r="B38" s="518"/>
      <c r="C38" s="518"/>
      <c r="D38" s="523"/>
      <c r="E38" s="86">
        <f>SUM(E37:E37)</f>
        <v>350000</v>
      </c>
      <c r="F38" s="12"/>
      <c r="G38" s="93"/>
      <c r="H38" s="25" t="str">
        <f>IF(F38=0," ",VLOOKUP(F38,[6]Sheet1!$A$1:$B$8,2,FALSE))</f>
        <v xml:space="preserve"> </v>
      </c>
      <c r="I38" s="15"/>
      <c r="J38" s="15"/>
      <c r="K38" s="15"/>
      <c r="L38" s="15"/>
      <c r="M38" s="15"/>
      <c r="N38" s="15"/>
      <c r="O38" s="15"/>
    </row>
    <row r="39" spans="1:15" ht="15.75" thickBot="1" x14ac:dyDescent="0.3">
      <c r="A39" s="520" t="s">
        <v>127</v>
      </c>
      <c r="B39" s="521"/>
      <c r="C39" s="521"/>
      <c r="D39" s="521"/>
      <c r="E39" s="521"/>
      <c r="F39" s="521"/>
      <c r="G39" s="522"/>
      <c r="H39" s="37"/>
      <c r="I39" s="15"/>
      <c r="J39" s="15"/>
      <c r="K39" s="15"/>
      <c r="L39" s="15"/>
      <c r="M39" s="15"/>
      <c r="N39" s="15"/>
      <c r="O39" s="15"/>
    </row>
    <row r="40" spans="1:15" ht="79.5" thickBot="1" x14ac:dyDescent="0.3">
      <c r="A40" s="1" t="s">
        <v>128</v>
      </c>
      <c r="B40" s="2"/>
      <c r="C40" s="3">
        <v>1</v>
      </c>
      <c r="D40" s="49">
        <v>250000</v>
      </c>
      <c r="E40" s="49">
        <f>C40*D40</f>
        <v>250000</v>
      </c>
      <c r="F40" s="12" t="s">
        <v>56</v>
      </c>
      <c r="G40" s="93"/>
      <c r="H40" s="25" t="str">
        <f>IF(F40=0," ",VLOOKUP(F40,[6]Sheet1!$A$1:$B$8,2,FALSE))</f>
        <v>Awarding should comply with the applicable rules on public procurement  (Regulations Art. 8.15).</v>
      </c>
      <c r="I40" s="15"/>
      <c r="J40" s="15"/>
      <c r="K40" s="15"/>
      <c r="L40" s="15"/>
      <c r="M40" s="15"/>
      <c r="N40" s="15"/>
      <c r="O40" s="15"/>
    </row>
    <row r="41" spans="1:15" ht="15.75" thickBot="1" x14ac:dyDescent="0.3">
      <c r="A41" s="517" t="s">
        <v>129</v>
      </c>
      <c r="B41" s="518"/>
      <c r="C41" s="518"/>
      <c r="D41" s="523"/>
      <c r="E41" s="86">
        <f>SUM(E40:E40)</f>
        <v>250000</v>
      </c>
      <c r="F41" s="12"/>
      <c r="G41" s="93"/>
      <c r="H41" s="25" t="str">
        <f>IF(F41=0," ",VLOOKUP(F41,[6]Sheet1!$A$1:$B$8,2,FALSE))</f>
        <v xml:space="preserve"> </v>
      </c>
      <c r="I41" s="15"/>
      <c r="J41" s="15"/>
      <c r="K41" s="15"/>
      <c r="L41" s="15"/>
      <c r="M41" s="15"/>
      <c r="N41" s="15"/>
      <c r="O41" s="15"/>
    </row>
    <row r="42" spans="1:15" ht="15.75" thickBot="1" x14ac:dyDescent="0.3">
      <c r="A42" s="520" t="s">
        <v>130</v>
      </c>
      <c r="B42" s="521"/>
      <c r="C42" s="521"/>
      <c r="D42" s="521"/>
      <c r="E42" s="521"/>
      <c r="F42" s="521"/>
      <c r="G42" s="522"/>
      <c r="H42" s="37"/>
      <c r="I42" s="15"/>
      <c r="J42" s="15"/>
      <c r="K42" s="15"/>
      <c r="L42" s="15"/>
      <c r="M42" s="15"/>
      <c r="N42" s="15"/>
      <c r="O42" s="15"/>
    </row>
    <row r="43" spans="1:15" ht="79.5" thickBot="1" x14ac:dyDescent="0.3">
      <c r="A43" s="1" t="s">
        <v>131</v>
      </c>
      <c r="B43" s="2"/>
      <c r="C43" s="3">
        <v>1</v>
      </c>
      <c r="D43" s="49">
        <v>150000</v>
      </c>
      <c r="E43" s="49">
        <f>C43*D43</f>
        <v>150000</v>
      </c>
      <c r="F43" s="12" t="s">
        <v>56</v>
      </c>
      <c r="G43" s="93"/>
      <c r="H43" s="25" t="str">
        <f>IF(F43=0," ",VLOOKUP(F43,[6]Sheet1!$A$1:$B$8,2,FALSE))</f>
        <v>Awarding should comply with the applicable rules on public procurement  (Regulations Art. 8.15).</v>
      </c>
      <c r="I43" s="15"/>
      <c r="J43" s="15"/>
      <c r="K43" s="15"/>
      <c r="L43" s="15"/>
      <c r="M43" s="15"/>
      <c r="N43" s="15"/>
      <c r="O43" s="15"/>
    </row>
    <row r="44" spans="1:15" ht="15.75" thickBot="1" x14ac:dyDescent="0.3">
      <c r="A44" s="517" t="s">
        <v>132</v>
      </c>
      <c r="B44" s="518"/>
      <c r="C44" s="518"/>
      <c r="D44" s="523"/>
      <c r="E44" s="86">
        <f>SUM(E43:E43)</f>
        <v>150000</v>
      </c>
      <c r="F44" s="12"/>
      <c r="G44" s="93"/>
      <c r="H44" s="25" t="str">
        <f>IF(F44=0," ",VLOOKUP(F44,[6]Sheet1!$A$1:$B$8,2,FALSE))</f>
        <v xml:space="preserve"> </v>
      </c>
      <c r="I44" s="15"/>
      <c r="J44" s="15"/>
      <c r="K44" s="15"/>
      <c r="L44" s="15"/>
      <c r="M44" s="15"/>
      <c r="N44" s="15"/>
      <c r="O44" s="15"/>
    </row>
    <row r="45" spans="1:15" ht="15.75" thickBot="1" x14ac:dyDescent="0.3">
      <c r="A45" s="520" t="s">
        <v>133</v>
      </c>
      <c r="B45" s="521"/>
      <c r="C45" s="521"/>
      <c r="D45" s="521"/>
      <c r="E45" s="521"/>
      <c r="F45" s="521"/>
      <c r="G45" s="522"/>
      <c r="H45" s="37"/>
      <c r="I45" s="15"/>
      <c r="J45" s="15"/>
      <c r="K45" s="15"/>
      <c r="L45" s="15"/>
      <c r="M45" s="15"/>
      <c r="N45" s="15"/>
      <c r="O45" s="15"/>
    </row>
    <row r="46" spans="1:15" ht="79.5" thickBot="1" x14ac:dyDescent="0.3">
      <c r="A46" s="1" t="s">
        <v>134</v>
      </c>
      <c r="B46" s="2"/>
      <c r="C46" s="3">
        <v>1</v>
      </c>
      <c r="D46" s="49">
        <v>321040</v>
      </c>
      <c r="E46" s="49">
        <f>C46*D46</f>
        <v>321040</v>
      </c>
      <c r="F46" s="12" t="s">
        <v>56</v>
      </c>
      <c r="G46" s="93"/>
      <c r="H46" s="25" t="str">
        <f>IF(F46=0," ",VLOOKUP(F46,[6]Sheet1!$A$1:$B$8,2,FALSE))</f>
        <v>Awarding should comply with the applicable rules on public procurement  (Regulations Art. 8.15).</v>
      </c>
      <c r="I46" s="15"/>
      <c r="J46" s="15"/>
      <c r="K46" s="15"/>
      <c r="L46" s="15"/>
      <c r="M46" s="15"/>
      <c r="N46" s="15"/>
      <c r="O46" s="15"/>
    </row>
    <row r="47" spans="1:15" ht="15.75" thickBot="1" x14ac:dyDescent="0.3">
      <c r="A47" s="517" t="s">
        <v>135</v>
      </c>
      <c r="B47" s="518"/>
      <c r="C47" s="518"/>
      <c r="D47" s="523"/>
      <c r="E47" s="86">
        <f>SUM(E46:E46)</f>
        <v>321040</v>
      </c>
      <c r="F47" s="12"/>
      <c r="G47" s="93"/>
      <c r="H47" s="25" t="str">
        <f>IF(F47=0," ",VLOOKUP(F47,[6]Sheet1!$A$1:$B$8,2,FALSE))</f>
        <v xml:space="preserve"> </v>
      </c>
      <c r="I47" s="15"/>
      <c r="J47" s="15"/>
      <c r="K47" s="15"/>
      <c r="L47" s="15"/>
      <c r="M47" s="15"/>
      <c r="N47" s="15"/>
      <c r="O47" s="15"/>
    </row>
    <row r="48" spans="1:15" ht="15.75" thickBot="1" x14ac:dyDescent="0.3">
      <c r="A48" s="520" t="s">
        <v>136</v>
      </c>
      <c r="B48" s="521"/>
      <c r="C48" s="521"/>
      <c r="D48" s="521"/>
      <c r="E48" s="521"/>
      <c r="F48" s="521"/>
      <c r="G48" s="522"/>
      <c r="H48" s="37"/>
      <c r="I48" s="15"/>
      <c r="J48" s="15"/>
      <c r="K48" s="15"/>
      <c r="L48" s="15"/>
      <c r="M48" s="15"/>
      <c r="N48" s="15"/>
      <c r="O48" s="15"/>
    </row>
    <row r="49" spans="1:15" ht="79.5" thickBot="1" x14ac:dyDescent="0.3">
      <c r="A49" s="1" t="s">
        <v>137</v>
      </c>
      <c r="B49" s="3"/>
      <c r="C49" s="3">
        <v>1</v>
      </c>
      <c r="D49" s="49">
        <v>95000</v>
      </c>
      <c r="E49" s="49">
        <f>C49*D49</f>
        <v>95000</v>
      </c>
      <c r="F49" s="12" t="s">
        <v>56</v>
      </c>
      <c r="G49" s="93"/>
      <c r="H49" s="25" t="str">
        <f>IF(F49=0," ",VLOOKUP(F49,[6]Sheet1!$A$1:$B$8,2,FALSE))</f>
        <v>Awarding should comply with the applicable rules on public procurement  (Regulations Art. 8.15).</v>
      </c>
      <c r="I49" s="15"/>
      <c r="J49" s="15"/>
      <c r="K49" s="15"/>
      <c r="L49" s="15"/>
      <c r="M49" s="15"/>
      <c r="N49" s="15"/>
      <c r="O49" s="15"/>
    </row>
    <row r="50" spans="1:15" ht="79.5" thickBot="1" x14ac:dyDescent="0.3">
      <c r="A50" s="1" t="s">
        <v>138</v>
      </c>
      <c r="B50" s="92"/>
      <c r="C50" s="3">
        <v>1</v>
      </c>
      <c r="D50" s="49">
        <v>155000</v>
      </c>
      <c r="E50" s="49">
        <f>C50*D50</f>
        <v>155000</v>
      </c>
      <c r="F50" s="12" t="s">
        <v>56</v>
      </c>
      <c r="G50" s="93"/>
      <c r="H50" s="25" t="str">
        <f>IF(F50=0," ",VLOOKUP(F50,[6]Sheet1!$A$1:$B$8,2,FALSE))</f>
        <v>Awarding should comply with the applicable rules on public procurement  (Regulations Art. 8.15).</v>
      </c>
      <c r="I50" s="15"/>
      <c r="J50" s="15"/>
      <c r="K50" s="15"/>
      <c r="L50" s="15"/>
      <c r="M50" s="15"/>
      <c r="N50" s="15"/>
      <c r="O50" s="15"/>
    </row>
    <row r="51" spans="1:15" ht="79.5" thickBot="1" x14ac:dyDescent="0.3">
      <c r="A51" s="1" t="s">
        <v>139</v>
      </c>
      <c r="B51" s="92"/>
      <c r="C51" s="3">
        <v>1</v>
      </c>
      <c r="D51" s="49">
        <v>7500</v>
      </c>
      <c r="E51" s="49">
        <f>C51*D51</f>
        <v>7500</v>
      </c>
      <c r="F51" s="12" t="s">
        <v>56</v>
      </c>
      <c r="G51" s="5"/>
      <c r="H51" s="25" t="str">
        <f>IF(F51=0," ",VLOOKUP(F51,[6]Sheet1!$A$1:$B$8,2,FALSE))</f>
        <v>Awarding should comply with the applicable rules on public procurement  (Regulations Art. 8.15).</v>
      </c>
      <c r="I51" s="15"/>
      <c r="J51" s="15"/>
      <c r="K51" s="15"/>
      <c r="L51" s="15"/>
      <c r="M51" s="15"/>
      <c r="N51" s="15"/>
      <c r="O51" s="15"/>
    </row>
    <row r="52" spans="1:15" ht="15.75" thickBot="1" x14ac:dyDescent="0.3">
      <c r="A52" s="517" t="s">
        <v>140</v>
      </c>
      <c r="B52" s="518"/>
      <c r="C52" s="518"/>
      <c r="D52" s="523"/>
      <c r="E52" s="86">
        <f>SUM(E49:E51)</f>
        <v>257500</v>
      </c>
      <c r="F52" s="12"/>
      <c r="G52" s="93"/>
      <c r="H52" s="25" t="str">
        <f>IF(F52=0," ",VLOOKUP(F52,[6]Sheet1!$A$1:$B$8,2,FALSE))</f>
        <v xml:space="preserve"> </v>
      </c>
      <c r="I52" s="15"/>
      <c r="J52" s="15"/>
      <c r="K52" s="15"/>
      <c r="L52" s="15"/>
      <c r="M52" s="15"/>
      <c r="N52" s="15"/>
      <c r="O52" s="15"/>
    </row>
    <row r="53" spans="1:15" ht="15.75" thickBot="1" x14ac:dyDescent="0.3">
      <c r="A53" s="520" t="s">
        <v>141</v>
      </c>
      <c r="B53" s="521"/>
      <c r="C53" s="521"/>
      <c r="D53" s="521"/>
      <c r="E53" s="521"/>
      <c r="F53" s="521"/>
      <c r="G53" s="522"/>
      <c r="H53" s="37"/>
      <c r="I53" s="15"/>
      <c r="J53" s="15"/>
      <c r="K53" s="15"/>
      <c r="L53" s="15"/>
      <c r="M53" s="15"/>
      <c r="N53" s="15"/>
      <c r="O53" s="15"/>
    </row>
    <row r="54" spans="1:15" ht="79.5" thickBot="1" x14ac:dyDescent="0.3">
      <c r="A54" s="1" t="s">
        <v>137</v>
      </c>
      <c r="B54" s="3"/>
      <c r="C54" s="3">
        <v>1</v>
      </c>
      <c r="D54" s="49">
        <v>110000</v>
      </c>
      <c r="E54" s="49">
        <f>C54*D54</f>
        <v>110000</v>
      </c>
      <c r="F54" s="12" t="s">
        <v>56</v>
      </c>
      <c r="G54" s="93"/>
      <c r="H54" s="25" t="str">
        <f>IF(F54=0," ",VLOOKUP(F54,[6]Sheet1!$A$1:$B$8,2,FALSE))</f>
        <v>Awarding should comply with the applicable rules on public procurement  (Regulations Art. 8.15).</v>
      </c>
      <c r="I54" s="15"/>
      <c r="J54" s="15"/>
      <c r="K54" s="15"/>
      <c r="L54" s="15"/>
      <c r="M54" s="15"/>
      <c r="N54" s="15"/>
      <c r="O54" s="15"/>
    </row>
    <row r="55" spans="1:15" ht="79.5" thickBot="1" x14ac:dyDescent="0.3">
      <c r="A55" s="1" t="s">
        <v>138</v>
      </c>
      <c r="B55" s="3"/>
      <c r="C55" s="3">
        <v>1</v>
      </c>
      <c r="D55" s="49">
        <v>40000</v>
      </c>
      <c r="E55" s="49">
        <f>C55*D55</f>
        <v>40000</v>
      </c>
      <c r="F55" s="12" t="s">
        <v>56</v>
      </c>
      <c r="G55" s="93"/>
      <c r="H55" s="25" t="str">
        <f>IF(F55=0," ",VLOOKUP(F55,[6]Sheet1!$A$1:$B$8,2,FALSE))</f>
        <v>Awarding should comply with the applicable rules on public procurement  (Regulations Art. 8.15).</v>
      </c>
      <c r="I55" s="15"/>
      <c r="J55" s="15"/>
      <c r="K55" s="15"/>
      <c r="L55" s="15"/>
      <c r="M55" s="15"/>
      <c r="N55" s="15"/>
      <c r="O55" s="15"/>
    </row>
    <row r="56" spans="1:15" ht="79.5" thickBot="1" x14ac:dyDescent="0.3">
      <c r="A56" s="1" t="s">
        <v>139</v>
      </c>
      <c r="B56" s="92"/>
      <c r="C56" s="3">
        <v>1</v>
      </c>
      <c r="D56" s="49">
        <v>2500</v>
      </c>
      <c r="E56" s="49">
        <f>C56*D56</f>
        <v>2500</v>
      </c>
      <c r="F56" s="12" t="s">
        <v>56</v>
      </c>
      <c r="G56" s="5"/>
      <c r="H56" s="25" t="str">
        <f>IF(F56=0," ",VLOOKUP(F56,[6]Sheet1!$A$1:$B$8,2,FALSE))</f>
        <v>Awarding should comply with the applicable rules on public procurement  (Regulations Art. 8.15).</v>
      </c>
      <c r="I56" s="15"/>
      <c r="J56" s="15"/>
      <c r="K56" s="15"/>
      <c r="L56" s="15"/>
      <c r="M56" s="15"/>
      <c r="N56" s="15"/>
      <c r="O56" s="15"/>
    </row>
    <row r="57" spans="1:15" ht="15.75" thickBot="1" x14ac:dyDescent="0.3">
      <c r="A57" s="517" t="s">
        <v>142</v>
      </c>
      <c r="B57" s="518"/>
      <c r="C57" s="518"/>
      <c r="D57" s="523"/>
      <c r="E57" s="86">
        <f>SUM(E54:E56)</f>
        <v>152500</v>
      </c>
      <c r="F57" s="12"/>
      <c r="G57" s="93"/>
      <c r="H57" s="25" t="str">
        <f>IF(F57=0," ",VLOOKUP(F57,[6]Sheet1!$A$1:$B$8,2,FALSE))</f>
        <v xml:space="preserve"> </v>
      </c>
      <c r="I57" s="15"/>
      <c r="J57" s="15"/>
      <c r="K57" s="15"/>
      <c r="L57" s="15"/>
      <c r="M57" s="15"/>
      <c r="N57" s="15"/>
      <c r="O57" s="15"/>
    </row>
    <row r="58" spans="1:15" ht="15.75" thickBot="1" x14ac:dyDescent="0.3">
      <c r="A58" s="520" t="s">
        <v>143</v>
      </c>
      <c r="B58" s="521"/>
      <c r="C58" s="521"/>
      <c r="D58" s="521"/>
      <c r="E58" s="521"/>
      <c r="F58" s="521"/>
      <c r="G58" s="522"/>
      <c r="H58" s="37"/>
      <c r="I58" s="15"/>
      <c r="J58" s="15"/>
      <c r="K58" s="15"/>
      <c r="L58" s="15"/>
      <c r="M58" s="15"/>
      <c r="N58" s="15"/>
      <c r="O58" s="15"/>
    </row>
    <row r="59" spans="1:15" ht="79.5" thickBot="1" x14ac:dyDescent="0.3">
      <c r="A59" s="1" t="s">
        <v>137</v>
      </c>
      <c r="B59" s="3"/>
      <c r="C59" s="3">
        <v>1</v>
      </c>
      <c r="D59" s="49">
        <v>950000</v>
      </c>
      <c r="E59" s="49">
        <f>C59*D59</f>
        <v>950000</v>
      </c>
      <c r="F59" s="12" t="s">
        <v>56</v>
      </c>
      <c r="G59" s="93"/>
      <c r="H59" s="25" t="str">
        <f>IF(F59=0," ",VLOOKUP(F59,[6]Sheet1!$A$1:$B$8,2,FALSE))</f>
        <v>Awarding should comply with the applicable rules on public procurement  (Regulations Art. 8.15).</v>
      </c>
      <c r="I59" s="15"/>
      <c r="J59" s="15"/>
      <c r="K59" s="15"/>
      <c r="L59" s="15"/>
      <c r="M59" s="15"/>
      <c r="N59" s="15"/>
      <c r="O59" s="15"/>
    </row>
    <row r="60" spans="1:15" ht="79.5" thickBot="1" x14ac:dyDescent="0.3">
      <c r="A60" s="1" t="s">
        <v>139</v>
      </c>
      <c r="B60" s="92"/>
      <c r="C60" s="3">
        <v>1</v>
      </c>
      <c r="D60" s="49">
        <v>20000</v>
      </c>
      <c r="E60" s="49">
        <f>C60*D60</f>
        <v>20000</v>
      </c>
      <c r="F60" s="12" t="s">
        <v>56</v>
      </c>
      <c r="G60" s="5"/>
      <c r="H60" s="25" t="str">
        <f>IF(F60=0," ",VLOOKUP(F60,[6]Sheet1!$A$1:$B$8,2,FALSE))</f>
        <v>Awarding should comply with the applicable rules on public procurement  (Regulations Art. 8.15).</v>
      </c>
      <c r="I60" s="15"/>
      <c r="J60" s="15"/>
      <c r="K60" s="15"/>
      <c r="L60" s="15"/>
      <c r="M60" s="15"/>
      <c r="N60" s="15"/>
      <c r="O60" s="15"/>
    </row>
    <row r="61" spans="1:15" ht="15.75" thickBot="1" x14ac:dyDescent="0.3">
      <c r="A61" s="517" t="s">
        <v>144</v>
      </c>
      <c r="B61" s="518"/>
      <c r="C61" s="518"/>
      <c r="D61" s="523"/>
      <c r="E61" s="86">
        <f>SUM(E59:E60)</f>
        <v>970000</v>
      </c>
      <c r="F61" s="12"/>
      <c r="G61" s="93"/>
      <c r="H61" s="25" t="str">
        <f>IF(F61=0," ",VLOOKUP(F61,[6]Sheet1!$A$1:$B$8,2,FALSE))</f>
        <v xml:space="preserve"> </v>
      </c>
      <c r="I61" s="15"/>
      <c r="J61" s="15"/>
      <c r="K61" s="15"/>
      <c r="L61" s="15"/>
      <c r="M61" s="15"/>
      <c r="N61" s="15"/>
      <c r="O61" s="15"/>
    </row>
    <row r="62" spans="1:15" ht="15.75" thickBot="1" x14ac:dyDescent="0.3">
      <c r="A62" s="526" t="s">
        <v>11</v>
      </c>
      <c r="B62" s="527"/>
      <c r="C62" s="527"/>
      <c r="D62" s="528"/>
      <c r="E62" s="53">
        <f>E61+E57+E52+E47+E44+E41+E38+E35+E32+E29+E26+E22</f>
        <v>4000000</v>
      </c>
      <c r="F62" s="93"/>
      <c r="G62" s="93"/>
      <c r="H62" s="38"/>
      <c r="I62" s="15"/>
      <c r="J62" s="15"/>
      <c r="K62" s="15"/>
      <c r="L62" s="15"/>
      <c r="M62" s="15"/>
      <c r="N62" s="15"/>
      <c r="O62" s="15"/>
    </row>
    <row r="63" spans="1:15" ht="15.75" thickBot="1" x14ac:dyDescent="0.3">
      <c r="A63" s="532" t="s">
        <v>12</v>
      </c>
      <c r="B63" s="533"/>
      <c r="C63" s="533"/>
      <c r="D63" s="533"/>
      <c r="E63" s="533"/>
      <c r="F63" s="533"/>
      <c r="G63" s="534"/>
      <c r="H63" s="39"/>
      <c r="I63" s="15"/>
      <c r="J63" s="15"/>
      <c r="K63" s="15"/>
      <c r="L63" s="15"/>
      <c r="M63" s="15"/>
      <c r="N63" s="15"/>
      <c r="O63" s="15"/>
    </row>
    <row r="64" spans="1:15" ht="34.5" thickBot="1" x14ac:dyDescent="0.3">
      <c r="A64" s="526" t="s">
        <v>13</v>
      </c>
      <c r="B64" s="527"/>
      <c r="C64" s="527"/>
      <c r="D64" s="528"/>
      <c r="E64" s="94">
        <v>0</v>
      </c>
      <c r="F64" s="93"/>
      <c r="G64" s="93"/>
      <c r="H64" s="40" t="s">
        <v>40</v>
      </c>
      <c r="I64" s="15"/>
      <c r="J64" s="15"/>
      <c r="K64" s="15"/>
      <c r="L64" s="15"/>
      <c r="M64" s="15"/>
      <c r="N64" s="15"/>
      <c r="O64" s="15"/>
    </row>
    <row r="65" spans="1:15" ht="15.75" thickBot="1" x14ac:dyDescent="0.3">
      <c r="A65" s="529" t="s">
        <v>22</v>
      </c>
      <c r="B65" s="530"/>
      <c r="C65" s="530"/>
      <c r="D65" s="531"/>
      <c r="E65" s="95">
        <f>E62+E64</f>
        <v>4000000</v>
      </c>
      <c r="F65" s="93"/>
      <c r="G65" s="93"/>
      <c r="H65" s="41"/>
      <c r="I65" s="15"/>
      <c r="J65" s="15"/>
      <c r="K65" s="15"/>
      <c r="L65" s="15"/>
      <c r="M65" s="15"/>
      <c r="N65" s="15"/>
      <c r="O65" s="15"/>
    </row>
    <row r="66" spans="1:15" ht="15.75" thickBot="1" x14ac:dyDescent="0.3">
      <c r="A66" s="15"/>
      <c r="B66" s="15"/>
      <c r="C66" s="15"/>
      <c r="D66" s="15"/>
      <c r="E66" s="15"/>
      <c r="F66" s="15"/>
      <c r="G66" s="15"/>
      <c r="H66" s="29"/>
      <c r="I66" s="15"/>
      <c r="J66" s="15"/>
      <c r="K66" s="15"/>
      <c r="L66" s="15"/>
      <c r="M66" s="15"/>
      <c r="N66" s="15"/>
      <c r="O66" s="15"/>
    </row>
    <row r="67" spans="1:15" ht="15.75" thickBot="1" x14ac:dyDescent="0.3">
      <c r="A67" s="486" t="s">
        <v>19</v>
      </c>
      <c r="B67" s="486"/>
      <c r="C67" s="486"/>
      <c r="D67" s="486"/>
      <c r="E67" s="96">
        <f>E22</f>
        <v>188960</v>
      </c>
      <c r="F67" s="15"/>
      <c r="G67" s="15"/>
      <c r="H67" s="29"/>
      <c r="I67" s="15"/>
      <c r="J67" s="15"/>
      <c r="K67" s="15"/>
      <c r="L67" s="15"/>
      <c r="M67" s="15"/>
      <c r="N67" s="15"/>
      <c r="O67" s="15"/>
    </row>
    <row r="68" spans="1:15" ht="15.75" thickBot="1" x14ac:dyDescent="0.3">
      <c r="A68" s="486" t="s">
        <v>20</v>
      </c>
      <c r="B68" s="486"/>
      <c r="C68" s="486"/>
      <c r="D68" s="486"/>
      <c r="E68" s="94">
        <f>E62-E67</f>
        <v>3811040</v>
      </c>
      <c r="F68" s="15"/>
      <c r="G68" s="15"/>
      <c r="H68" s="29"/>
      <c r="I68" s="15"/>
      <c r="J68" s="15"/>
      <c r="K68" s="15"/>
      <c r="L68" s="15"/>
      <c r="M68" s="15"/>
      <c r="N68" s="15"/>
      <c r="O68" s="15"/>
    </row>
    <row r="69" spans="1:15" x14ac:dyDescent="0.25">
      <c r="A69" s="15"/>
      <c r="B69" s="15"/>
      <c r="C69" s="15"/>
      <c r="D69" s="15"/>
      <c r="E69" s="15"/>
      <c r="F69" s="15"/>
      <c r="G69" s="15"/>
      <c r="H69" s="29"/>
      <c r="I69" s="15"/>
      <c r="J69" s="15"/>
      <c r="K69" s="15"/>
      <c r="L69" s="15"/>
      <c r="M69" s="15"/>
      <c r="N69" s="15"/>
      <c r="O69" s="15"/>
    </row>
    <row r="70" spans="1:15" ht="15.75" thickBot="1" x14ac:dyDescent="0.3">
      <c r="A70" s="15"/>
      <c r="B70" s="15"/>
      <c r="C70" s="15"/>
      <c r="D70" s="15"/>
      <c r="E70" s="15"/>
      <c r="F70" s="15"/>
      <c r="G70" s="15"/>
      <c r="H70" s="29"/>
      <c r="I70" s="15"/>
      <c r="J70" s="15"/>
      <c r="K70" s="15"/>
      <c r="L70" s="15"/>
      <c r="M70" s="15"/>
      <c r="N70" s="15"/>
      <c r="O70" s="15"/>
    </row>
    <row r="71" spans="1:15" ht="45.75" thickBot="1" x14ac:dyDescent="0.3">
      <c r="A71" s="21" t="s">
        <v>35</v>
      </c>
      <c r="B71" s="19" t="s">
        <v>27</v>
      </c>
      <c r="C71" s="19" t="s">
        <v>145</v>
      </c>
      <c r="D71" s="19" t="s">
        <v>146</v>
      </c>
      <c r="E71" s="19" t="s">
        <v>147</v>
      </c>
      <c r="F71" s="19" t="s">
        <v>148</v>
      </c>
      <c r="G71" s="19" t="s">
        <v>149</v>
      </c>
      <c r="H71" s="19" t="s">
        <v>150</v>
      </c>
      <c r="I71" s="19" t="s">
        <v>151</v>
      </c>
      <c r="J71" s="19" t="s">
        <v>152</v>
      </c>
      <c r="K71" s="19" t="s">
        <v>153</v>
      </c>
      <c r="L71" s="19" t="s">
        <v>154</v>
      </c>
      <c r="M71" s="19" t="s">
        <v>155</v>
      </c>
      <c r="N71" s="19" t="s">
        <v>25</v>
      </c>
      <c r="O71" s="42" t="s">
        <v>26</v>
      </c>
    </row>
    <row r="72" spans="1:15" ht="15.75" thickBot="1" x14ac:dyDescent="0.3">
      <c r="A72" s="297" t="s">
        <v>50</v>
      </c>
      <c r="B72" s="279">
        <f>E15+E16+E17+E18++E19+E20+E21</f>
        <v>168960</v>
      </c>
      <c r="C72" s="275"/>
      <c r="D72" s="275"/>
      <c r="E72" s="276"/>
      <c r="F72" s="276"/>
      <c r="G72" s="276"/>
      <c r="H72" s="248"/>
      <c r="I72" s="248"/>
      <c r="J72" s="248"/>
      <c r="K72" s="248"/>
      <c r="L72" s="248"/>
      <c r="M72" s="248"/>
      <c r="N72" s="214">
        <f>SUM(B72:M72)</f>
        <v>168960</v>
      </c>
      <c r="O72" s="302">
        <f>N72/N81</f>
        <v>4.224E-2</v>
      </c>
    </row>
    <row r="73" spans="1:15" ht="23.25" thickBot="1" x14ac:dyDescent="0.3">
      <c r="A73" s="297" t="s">
        <v>51</v>
      </c>
      <c r="B73" s="274"/>
      <c r="C73" s="275"/>
      <c r="D73" s="275"/>
      <c r="E73" s="276"/>
      <c r="F73" s="276"/>
      <c r="G73" s="276"/>
      <c r="H73" s="248"/>
      <c r="I73" s="248"/>
      <c r="J73" s="248"/>
      <c r="K73" s="248"/>
      <c r="L73" s="248"/>
      <c r="M73" s="248"/>
      <c r="N73" s="197"/>
      <c r="O73" s="302"/>
    </row>
    <row r="74" spans="1:15" ht="23.25" thickBot="1" x14ac:dyDescent="0.3">
      <c r="A74" s="297" t="s">
        <v>52</v>
      </c>
      <c r="B74" s="274"/>
      <c r="C74" s="275"/>
      <c r="D74" s="275"/>
      <c r="E74" s="276"/>
      <c r="F74" s="276"/>
      <c r="G74" s="276"/>
      <c r="H74" s="248"/>
      <c r="I74" s="248"/>
      <c r="J74" s="248"/>
      <c r="K74" s="248"/>
      <c r="L74" s="248"/>
      <c r="M74" s="248"/>
      <c r="N74" s="197"/>
      <c r="O74" s="302"/>
    </row>
    <row r="75" spans="1:15" ht="23.25" thickBot="1" x14ac:dyDescent="0.3">
      <c r="A75" s="297" t="s">
        <v>53</v>
      </c>
      <c r="B75" s="274"/>
      <c r="C75" s="275"/>
      <c r="D75" s="275"/>
      <c r="E75" s="276"/>
      <c r="F75" s="276"/>
      <c r="G75" s="276"/>
      <c r="H75" s="248"/>
      <c r="I75" s="248"/>
      <c r="J75" s="248"/>
      <c r="K75" s="248"/>
      <c r="L75" s="248"/>
      <c r="M75" s="248"/>
      <c r="N75" s="197"/>
      <c r="O75" s="302"/>
    </row>
    <row r="76" spans="1:15" ht="23.25" thickBot="1" x14ac:dyDescent="0.3">
      <c r="A76" s="297" t="s">
        <v>54</v>
      </c>
      <c r="B76" s="274"/>
      <c r="C76" s="275"/>
      <c r="D76" s="275"/>
      <c r="E76" s="276"/>
      <c r="F76" s="276"/>
      <c r="G76" s="276"/>
      <c r="H76" s="248"/>
      <c r="I76" s="248"/>
      <c r="J76" s="248"/>
      <c r="K76" s="248"/>
      <c r="L76" s="248"/>
      <c r="M76" s="248"/>
      <c r="N76" s="197"/>
      <c r="O76" s="302"/>
    </row>
    <row r="77" spans="1:15" ht="15.75" thickBot="1" x14ac:dyDescent="0.3">
      <c r="A77" s="297" t="s">
        <v>55</v>
      </c>
      <c r="B77" s="274"/>
      <c r="C77" s="275"/>
      <c r="D77" s="275"/>
      <c r="E77" s="276"/>
      <c r="F77" s="276"/>
      <c r="G77" s="276"/>
      <c r="H77" s="248"/>
      <c r="I77" s="248"/>
      <c r="J77" s="248"/>
      <c r="K77" s="248"/>
      <c r="L77" s="248"/>
      <c r="M77" s="248"/>
      <c r="N77" s="197"/>
      <c r="O77" s="302"/>
    </row>
    <row r="78" spans="1:15" ht="23.25" thickBot="1" x14ac:dyDescent="0.3">
      <c r="A78" s="297" t="s">
        <v>56</v>
      </c>
      <c r="B78" s="274"/>
      <c r="C78" s="277">
        <f>E26</f>
        <v>700000</v>
      </c>
      <c r="D78" s="277">
        <f>E29</f>
        <v>280000</v>
      </c>
      <c r="E78" s="278">
        <f>E32</f>
        <v>200000</v>
      </c>
      <c r="F78" s="278">
        <f>E35</f>
        <v>180000</v>
      </c>
      <c r="G78" s="278">
        <f>E38</f>
        <v>350000</v>
      </c>
      <c r="H78" s="251">
        <f>E41</f>
        <v>250000</v>
      </c>
      <c r="I78" s="251">
        <f>E44</f>
        <v>150000</v>
      </c>
      <c r="J78" s="251">
        <f>E47</f>
        <v>321040</v>
      </c>
      <c r="K78" s="251">
        <f>E52</f>
        <v>257500</v>
      </c>
      <c r="L78" s="251">
        <f>E57</f>
        <v>152500</v>
      </c>
      <c r="M78" s="251">
        <f>E61</f>
        <v>970000</v>
      </c>
      <c r="N78" s="214">
        <f>SUM(C78:M78)</f>
        <v>3811040</v>
      </c>
      <c r="O78" s="302">
        <f>N78/N81</f>
        <v>0.95276000000000005</v>
      </c>
    </row>
    <row r="79" spans="1:15" ht="23.25" thickBot="1" x14ac:dyDescent="0.3">
      <c r="A79" s="297" t="s">
        <v>57</v>
      </c>
      <c r="B79" s="279">
        <f>E13+E14</f>
        <v>20000</v>
      </c>
      <c r="C79" s="275"/>
      <c r="D79" s="275"/>
      <c r="E79" s="276"/>
      <c r="F79" s="276"/>
      <c r="G79" s="276"/>
      <c r="H79" s="248"/>
      <c r="I79" s="248"/>
      <c r="J79" s="248"/>
      <c r="K79" s="248"/>
      <c r="L79" s="248"/>
      <c r="M79" s="248"/>
      <c r="N79" s="214">
        <f>SUM(B79:M79)</f>
        <v>20000</v>
      </c>
      <c r="O79" s="302">
        <f>N79/N81</f>
        <v>5.0000000000000001E-3</v>
      </c>
    </row>
    <row r="80" spans="1:15" ht="15.75" thickBot="1" x14ac:dyDescent="0.3">
      <c r="A80" s="297" t="s">
        <v>32</v>
      </c>
      <c r="B80" s="274"/>
      <c r="C80" s="275"/>
      <c r="D80" s="275"/>
      <c r="E80" s="276"/>
      <c r="F80" s="276"/>
      <c r="G80" s="276"/>
      <c r="H80" s="248"/>
      <c r="I80" s="248"/>
      <c r="J80" s="248"/>
      <c r="K80" s="248"/>
      <c r="L80" s="248"/>
      <c r="M80" s="248"/>
      <c r="N80" s="197"/>
      <c r="O80" s="302"/>
    </row>
    <row r="81" spans="1:15" ht="15.75" thickBot="1" x14ac:dyDescent="0.3">
      <c r="A81" s="19" t="s">
        <v>33</v>
      </c>
      <c r="B81" s="279">
        <f>SUM(B72:B80)</f>
        <v>188960</v>
      </c>
      <c r="C81" s="279">
        <f t="shared" ref="C81:M81" si="1">SUM(C72:C80)</f>
        <v>700000</v>
      </c>
      <c r="D81" s="279">
        <f t="shared" si="1"/>
        <v>280000</v>
      </c>
      <c r="E81" s="279">
        <f t="shared" si="1"/>
        <v>200000</v>
      </c>
      <c r="F81" s="279">
        <f t="shared" si="1"/>
        <v>180000</v>
      </c>
      <c r="G81" s="279">
        <f t="shared" si="1"/>
        <v>350000</v>
      </c>
      <c r="H81" s="279">
        <f t="shared" si="1"/>
        <v>250000</v>
      </c>
      <c r="I81" s="279">
        <f t="shared" si="1"/>
        <v>150000</v>
      </c>
      <c r="J81" s="279">
        <f t="shared" si="1"/>
        <v>321040</v>
      </c>
      <c r="K81" s="279">
        <f t="shared" si="1"/>
        <v>257500</v>
      </c>
      <c r="L81" s="279">
        <f t="shared" si="1"/>
        <v>152500</v>
      </c>
      <c r="M81" s="279">
        <f t="shared" si="1"/>
        <v>970000</v>
      </c>
      <c r="N81" s="214">
        <f>SUM(N72:N80)</f>
        <v>4000000</v>
      </c>
      <c r="O81" s="303">
        <f>SUM(O71:O80)</f>
        <v>1</v>
      </c>
    </row>
    <row r="82" spans="1:15" ht="15.75" thickBot="1" x14ac:dyDescent="0.3">
      <c r="A82" s="19" t="s">
        <v>34</v>
      </c>
      <c r="B82" s="280">
        <f>B81/N81</f>
        <v>4.7239999999999997E-2</v>
      </c>
      <c r="C82" s="280">
        <f>C81/N81</f>
        <v>0.17499999999999999</v>
      </c>
      <c r="D82" s="280">
        <f>D81/N81</f>
        <v>7.0000000000000007E-2</v>
      </c>
      <c r="E82" s="280">
        <f>E81/N81</f>
        <v>0.05</v>
      </c>
      <c r="F82" s="280">
        <f>F81/N81</f>
        <v>4.4999999999999998E-2</v>
      </c>
      <c r="G82" s="280">
        <f>G81/N81</f>
        <v>8.7499999999999994E-2</v>
      </c>
      <c r="H82" s="280">
        <f>H81/N81</f>
        <v>6.25E-2</v>
      </c>
      <c r="I82" s="280">
        <f>I81/N81</f>
        <v>3.7499999999999999E-2</v>
      </c>
      <c r="J82" s="280">
        <f>J81/N81</f>
        <v>8.0259999999999998E-2</v>
      </c>
      <c r="K82" s="280">
        <f>K81/N81</f>
        <v>6.4375000000000002E-2</v>
      </c>
      <c r="L82" s="280">
        <f>L81/N81</f>
        <v>3.8124999999999999E-2</v>
      </c>
      <c r="M82" s="280">
        <f>M81/N81</f>
        <v>0.24249999999999999</v>
      </c>
      <c r="N82" s="301">
        <f>N81/N81</f>
        <v>1</v>
      </c>
      <c r="O82" s="97"/>
    </row>
    <row r="83" spans="1:15" x14ac:dyDescent="0.25">
      <c r="A83" s="20"/>
      <c r="B83" s="20"/>
      <c r="C83" s="20"/>
      <c r="D83" s="20"/>
      <c r="E83" s="20"/>
      <c r="F83" s="20"/>
      <c r="G83" s="20"/>
      <c r="H83" s="44"/>
      <c r="I83" s="20"/>
      <c r="J83" s="20"/>
      <c r="K83" s="20"/>
      <c r="L83" s="20"/>
      <c r="M83" s="20"/>
      <c r="N83" s="20"/>
      <c r="O83" s="15"/>
    </row>
    <row r="84" spans="1:15" x14ac:dyDescent="0.25">
      <c r="A84" s="15"/>
      <c r="B84" s="15"/>
      <c r="C84" s="15"/>
      <c r="D84" s="15"/>
      <c r="E84" s="15"/>
      <c r="F84" s="15"/>
      <c r="G84" s="15"/>
      <c r="H84" s="29"/>
      <c r="I84" s="15"/>
      <c r="J84" s="15"/>
      <c r="K84" s="15"/>
      <c r="L84" s="15"/>
      <c r="M84" s="15"/>
      <c r="N84" s="15"/>
      <c r="O84" s="15"/>
    </row>
    <row r="85" spans="1:15" x14ac:dyDescent="0.25">
      <c r="A85" s="15"/>
      <c r="B85" s="15"/>
      <c r="C85" s="15"/>
      <c r="D85" s="15"/>
      <c r="E85" s="15"/>
      <c r="F85" s="15"/>
      <c r="G85" s="15"/>
      <c r="H85" s="29"/>
      <c r="I85" s="15"/>
      <c r="J85" s="15"/>
      <c r="K85" s="15"/>
      <c r="L85" s="15"/>
      <c r="M85" s="15"/>
      <c r="N85" s="15"/>
      <c r="O85" s="15"/>
    </row>
    <row r="86" spans="1:15" x14ac:dyDescent="0.25">
      <c r="A86" s="15"/>
      <c r="B86" s="15"/>
      <c r="C86" s="15"/>
      <c r="D86" s="15"/>
      <c r="E86" s="15"/>
      <c r="F86" s="15"/>
      <c r="G86" s="15"/>
      <c r="H86" s="29"/>
      <c r="I86" s="15"/>
      <c r="J86" s="15"/>
      <c r="K86" s="15"/>
      <c r="L86" s="15"/>
      <c r="M86" s="15"/>
      <c r="N86" s="15"/>
      <c r="O86" s="15"/>
    </row>
    <row r="90" spans="1:15" x14ac:dyDescent="0.25">
      <c r="F90" s="282"/>
      <c r="G90" s="283"/>
    </row>
    <row r="91" spans="1:15" x14ac:dyDescent="0.25">
      <c r="A91" s="292" t="s">
        <v>538</v>
      </c>
      <c r="B91" s="294">
        <f>E22+E26+E29+E51+E56+E60</f>
        <v>1198960</v>
      </c>
    </row>
    <row r="92" spans="1:15" x14ac:dyDescent="0.25">
      <c r="A92" s="292" t="s">
        <v>539</v>
      </c>
      <c r="B92" s="294">
        <v>0</v>
      </c>
    </row>
    <row r="93" spans="1:15" x14ac:dyDescent="0.25">
      <c r="A93" s="293" t="s">
        <v>34</v>
      </c>
      <c r="B93" s="295">
        <f>(B91+B92)/E65</f>
        <v>0.29974000000000001</v>
      </c>
    </row>
  </sheetData>
  <mergeCells count="37">
    <mergeCell ref="A48:G48"/>
    <mergeCell ref="A52:D52"/>
    <mergeCell ref="A65:D65"/>
    <mergeCell ref="A67:D67"/>
    <mergeCell ref="A68:D68"/>
    <mergeCell ref="A53:G53"/>
    <mergeCell ref="A58:G58"/>
    <mergeCell ref="A62:D62"/>
    <mergeCell ref="A63:G63"/>
    <mergeCell ref="A64:D64"/>
    <mergeCell ref="B8:G8"/>
    <mergeCell ref="B3:G3"/>
    <mergeCell ref="B4:G4"/>
    <mergeCell ref="B5:G5"/>
    <mergeCell ref="B6:G6"/>
    <mergeCell ref="B7:G7"/>
    <mergeCell ref="A11:G11"/>
    <mergeCell ref="A12:G12"/>
    <mergeCell ref="A22:D22"/>
    <mergeCell ref="A23:G23"/>
    <mergeCell ref="A26:D26"/>
    <mergeCell ref="A42:G42"/>
    <mergeCell ref="A61:D61"/>
    <mergeCell ref="A57:D57"/>
    <mergeCell ref="A27:G27"/>
    <mergeCell ref="A29:D29"/>
    <mergeCell ref="A38:D38"/>
    <mergeCell ref="A39:G39"/>
    <mergeCell ref="A41:D41"/>
    <mergeCell ref="A30:G30"/>
    <mergeCell ref="A32:D32"/>
    <mergeCell ref="A33:G33"/>
    <mergeCell ref="A35:D35"/>
    <mergeCell ref="A36:G36"/>
    <mergeCell ref="A44:D44"/>
    <mergeCell ref="A45:G45"/>
    <mergeCell ref="A47:D47"/>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[7]Sheet1!#REF!</xm:f>
          </x14:formula1>
          <xm:sqref>F15:F21</xm:sqref>
        </x14:dataValidation>
        <x14:dataValidation type="list" allowBlank="1" showInputMessage="1" showErrorMessage="1">
          <x14:formula1>
            <xm:f>[8]Sheet1!#REF!</xm:f>
          </x14:formula1>
          <xm:sqref>F54:F57 F31:F32 F59:F61 F24:F26 F40:F41 F43:F44 F46:F47 F37:F38 F34:F35 F28:F29 F49:F52 F13:F14 F22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topLeftCell="A28" workbookViewId="0">
      <selection activeCell="B60" sqref="B60"/>
    </sheetView>
  </sheetViews>
  <sheetFormatPr defaultRowHeight="15" x14ac:dyDescent="0.25"/>
  <cols>
    <col min="1" max="1" width="41" customWidth="1"/>
    <col min="2" max="5" width="10.5703125" customWidth="1"/>
    <col min="6" max="6" width="17.85546875" customWidth="1"/>
    <col min="7" max="7" width="35.42578125" customWidth="1"/>
    <col min="8" max="8" width="33.140625" customWidth="1"/>
  </cols>
  <sheetData>
    <row r="1" spans="1:8" x14ac:dyDescent="0.25">
      <c r="A1" s="13" t="s">
        <v>17</v>
      </c>
      <c r="B1" s="14"/>
      <c r="C1" s="14"/>
      <c r="D1" s="15"/>
      <c r="E1" s="15"/>
      <c r="F1" s="15"/>
      <c r="G1" s="15"/>
      <c r="H1" s="29"/>
    </row>
    <row r="2" spans="1:8" ht="15.75" thickBot="1" x14ac:dyDescent="0.3">
      <c r="A2" s="15"/>
      <c r="B2" s="15"/>
      <c r="C2" s="15"/>
      <c r="D2" s="15"/>
      <c r="E2" s="15"/>
      <c r="F2" s="15"/>
      <c r="G2" s="15"/>
      <c r="H2" s="29"/>
    </row>
    <row r="3" spans="1:8" ht="15.75" thickBot="1" x14ac:dyDescent="0.3">
      <c r="A3" s="7" t="s">
        <v>7</v>
      </c>
      <c r="B3" s="499" t="s">
        <v>171</v>
      </c>
      <c r="C3" s="500"/>
      <c r="D3" s="500"/>
      <c r="E3" s="500"/>
      <c r="F3" s="500"/>
      <c r="G3" s="501"/>
      <c r="H3" s="30"/>
    </row>
    <row r="4" spans="1:8" ht="15.75" thickBot="1" x14ac:dyDescent="0.3">
      <c r="A4" s="8" t="s">
        <v>15</v>
      </c>
      <c r="B4" s="499" t="s">
        <v>156</v>
      </c>
      <c r="C4" s="500"/>
      <c r="D4" s="500"/>
      <c r="E4" s="500"/>
      <c r="F4" s="500"/>
      <c r="G4" s="501"/>
      <c r="H4" s="30"/>
    </row>
    <row r="5" spans="1:8" ht="15.75" thickBot="1" x14ac:dyDescent="0.3">
      <c r="A5" s="8" t="s">
        <v>8</v>
      </c>
      <c r="B5" s="499" t="s">
        <v>157</v>
      </c>
      <c r="C5" s="500"/>
      <c r="D5" s="500"/>
      <c r="E5" s="500"/>
      <c r="F5" s="500"/>
      <c r="G5" s="501"/>
      <c r="H5" s="30"/>
    </row>
    <row r="6" spans="1:8" ht="15.75" thickBot="1" x14ac:dyDescent="0.3">
      <c r="A6" s="8" t="s">
        <v>16</v>
      </c>
      <c r="B6" s="539" t="s">
        <v>158</v>
      </c>
      <c r="C6" s="540"/>
      <c r="D6" s="540"/>
      <c r="E6" s="540"/>
      <c r="F6" s="540"/>
      <c r="G6" s="541"/>
      <c r="H6" s="31"/>
    </row>
    <row r="7" spans="1:8" ht="15.75" thickBot="1" x14ac:dyDescent="0.3">
      <c r="A7" s="8" t="s">
        <v>2</v>
      </c>
      <c r="B7" s="505">
        <v>1</v>
      </c>
      <c r="C7" s="506"/>
      <c r="D7" s="506"/>
      <c r="E7" s="506"/>
      <c r="F7" s="506"/>
      <c r="G7" s="507"/>
      <c r="H7" s="32"/>
    </row>
    <row r="8" spans="1:8" ht="15.75" thickBot="1" x14ac:dyDescent="0.3">
      <c r="A8" s="8" t="s">
        <v>9</v>
      </c>
      <c r="B8" s="508" t="s">
        <v>159</v>
      </c>
      <c r="C8" s="509"/>
      <c r="D8" s="509"/>
      <c r="E8" s="509"/>
      <c r="F8" s="509"/>
      <c r="G8" s="510"/>
      <c r="H8" s="32"/>
    </row>
    <row r="9" spans="1:8" ht="15.75" thickBot="1" x14ac:dyDescent="0.3">
      <c r="A9" s="23"/>
      <c r="B9" s="24"/>
      <c r="C9" s="22"/>
      <c r="D9" s="22"/>
      <c r="E9" s="22"/>
      <c r="F9" s="22"/>
      <c r="G9" s="22"/>
      <c r="H9" s="33"/>
    </row>
    <row r="10" spans="1:8" ht="34.5" thickBot="1" x14ac:dyDescent="0.3">
      <c r="A10" s="28"/>
      <c r="B10" s="26" t="s">
        <v>0</v>
      </c>
      <c r="C10" s="26" t="s">
        <v>14</v>
      </c>
      <c r="D10" s="26" t="s">
        <v>23</v>
      </c>
      <c r="E10" s="26" t="s">
        <v>18</v>
      </c>
      <c r="F10" s="26" t="s">
        <v>10</v>
      </c>
      <c r="G10" s="27" t="s">
        <v>1</v>
      </c>
      <c r="H10" s="34" t="s">
        <v>36</v>
      </c>
    </row>
    <row r="11" spans="1:8" ht="15.75" thickBot="1" x14ac:dyDescent="0.3">
      <c r="A11" s="511" t="s">
        <v>21</v>
      </c>
      <c r="B11" s="512"/>
      <c r="C11" s="512"/>
      <c r="D11" s="512"/>
      <c r="E11" s="512"/>
      <c r="F11" s="512"/>
      <c r="G11" s="513"/>
      <c r="H11" s="35"/>
    </row>
    <row r="12" spans="1:8" ht="15.75" thickBot="1" x14ac:dyDescent="0.3">
      <c r="A12" s="514" t="s">
        <v>24</v>
      </c>
      <c r="B12" s="515"/>
      <c r="C12" s="515"/>
      <c r="D12" s="515"/>
      <c r="E12" s="515"/>
      <c r="F12" s="515"/>
      <c r="G12" s="516"/>
      <c r="H12" s="36"/>
    </row>
    <row r="13" spans="1:8" ht="34.5" thickBot="1" x14ac:dyDescent="0.3">
      <c r="A13" s="1" t="s">
        <v>160</v>
      </c>
      <c r="B13" s="2" t="s">
        <v>161</v>
      </c>
      <c r="C13" s="3">
        <v>3</v>
      </c>
      <c r="D13" s="4"/>
      <c r="E13" s="4">
        <v>1000</v>
      </c>
      <c r="F13" s="12" t="s">
        <v>50</v>
      </c>
      <c r="G13" s="5"/>
      <c r="H13" s="25">
        <f>IF(F13=0,"  ",VLOOKUP(F13,[9]Sheet1!$A$1:$B$8,2,FALSE))</f>
        <v>0</v>
      </c>
    </row>
    <row r="14" spans="1:8" ht="15.75" thickBot="1" x14ac:dyDescent="0.3">
      <c r="A14" s="517" t="s">
        <v>3</v>
      </c>
      <c r="B14" s="518"/>
      <c r="C14" s="518"/>
      <c r="D14" s="519"/>
      <c r="E14" s="102">
        <f>SUM(E13:E13)</f>
        <v>1000</v>
      </c>
      <c r="F14" s="12"/>
      <c r="G14" s="87"/>
      <c r="H14" s="25" t="str">
        <f>IF(F14=0," ",VLOOKUP(F14,[9]Sheet1!$A$1:$B$8,2,FALSE))</f>
        <v xml:space="preserve"> </v>
      </c>
    </row>
    <row r="15" spans="1:8" ht="15.75" thickBot="1" x14ac:dyDescent="0.3">
      <c r="A15" s="520" t="s">
        <v>162</v>
      </c>
      <c r="B15" s="521"/>
      <c r="C15" s="521"/>
      <c r="D15" s="521"/>
      <c r="E15" s="521"/>
      <c r="F15" s="521"/>
      <c r="G15" s="522"/>
      <c r="H15" s="37"/>
    </row>
    <row r="16" spans="1:8" ht="45.75" thickBot="1" x14ac:dyDescent="0.3">
      <c r="A16" s="1" t="s">
        <v>163</v>
      </c>
      <c r="B16" s="2" t="s">
        <v>164</v>
      </c>
      <c r="C16" s="3">
        <v>6</v>
      </c>
      <c r="D16" s="4">
        <v>232334</v>
      </c>
      <c r="E16" s="4">
        <f>C16*D16</f>
        <v>1394004</v>
      </c>
      <c r="F16" s="12" t="s">
        <v>53</v>
      </c>
      <c r="G16" s="93"/>
      <c r="H16" s="25" t="str">
        <f>IF(F16=0," ",VLOOKUP(F16,[9]Sheet1!$A$1:$B$8,2,FALSE))</f>
        <v xml:space="preserve">Refer to a document confirming that the PO determined the equipment as integral and necessary for achieving the outcomes of the PDP. </v>
      </c>
    </row>
    <row r="17" spans="1:8" ht="34.5" thickBot="1" x14ac:dyDescent="0.3">
      <c r="A17" s="1" t="s">
        <v>165</v>
      </c>
      <c r="B17" s="103" t="s">
        <v>161</v>
      </c>
      <c r="C17" s="3">
        <v>24</v>
      </c>
      <c r="D17" s="4">
        <v>62.5</v>
      </c>
      <c r="E17" s="4">
        <f>SUM(D17*C17)</f>
        <v>1500</v>
      </c>
      <c r="F17" s="12" t="s">
        <v>51</v>
      </c>
      <c r="G17" s="93"/>
      <c r="H17" s="25">
        <f>SUM(E17/C17)</f>
        <v>62.5</v>
      </c>
    </row>
    <row r="18" spans="1:8" ht="34.5" thickBot="1" x14ac:dyDescent="0.3">
      <c r="A18" s="1" t="s">
        <v>166</v>
      </c>
      <c r="B18" s="103" t="s">
        <v>161</v>
      </c>
      <c r="C18" s="3">
        <v>6</v>
      </c>
      <c r="D18" s="4"/>
      <c r="E18" s="4">
        <v>3496</v>
      </c>
      <c r="F18" s="12" t="s">
        <v>50</v>
      </c>
      <c r="G18" s="93"/>
      <c r="H18" s="25"/>
    </row>
    <row r="19" spans="1:8" ht="15.75" thickBot="1" x14ac:dyDescent="0.3">
      <c r="A19" s="1"/>
      <c r="B19" s="3"/>
      <c r="C19" s="3"/>
      <c r="D19" s="4"/>
      <c r="E19" s="4"/>
      <c r="F19" s="12"/>
      <c r="G19" s="93"/>
      <c r="H19" s="25"/>
    </row>
    <row r="20" spans="1:8" ht="15.75" thickBot="1" x14ac:dyDescent="0.3">
      <c r="A20" s="517" t="s">
        <v>4</v>
      </c>
      <c r="B20" s="518"/>
      <c r="C20" s="518"/>
      <c r="D20" s="523"/>
      <c r="E20" s="102">
        <f>SUM(E16:E19)</f>
        <v>1399000</v>
      </c>
      <c r="F20" s="12"/>
      <c r="G20" s="93"/>
      <c r="H20" s="25" t="str">
        <f>IF(F20=0," ",VLOOKUP(F20,[9]Sheet1!$A$1:$B$8,2,FALSE))</f>
        <v xml:space="preserve"> </v>
      </c>
    </row>
    <row r="21" spans="1:8" ht="15.75" thickBot="1" x14ac:dyDescent="0.3">
      <c r="A21" s="520" t="s">
        <v>167</v>
      </c>
      <c r="B21" s="521"/>
      <c r="C21" s="521"/>
      <c r="D21" s="521"/>
      <c r="E21" s="521"/>
      <c r="F21" s="521"/>
      <c r="G21" s="522"/>
      <c r="H21" s="37"/>
    </row>
    <row r="22" spans="1:8" ht="57" thickBot="1" x14ac:dyDescent="0.3">
      <c r="A22" s="1" t="s">
        <v>168</v>
      </c>
      <c r="B22" s="2"/>
      <c r="C22" s="3"/>
      <c r="D22" s="4"/>
      <c r="E22" s="4">
        <v>0</v>
      </c>
      <c r="F22" s="12" t="s">
        <v>57</v>
      </c>
      <c r="G22" s="93"/>
      <c r="H22" s="25" t="str">
        <f>IF(F22=0," ",VLOOKUP(F22,[9]Sheet1!$A$1:$B$8,2,FALSE))</f>
        <v>Include a reference to the relevant article of the project contract.
Examples of costs: information/publicity, translations, specific evaluation, audits, charges for financial transactions, etc.</v>
      </c>
    </row>
    <row r="23" spans="1:8" ht="15.75" thickBot="1" x14ac:dyDescent="0.3">
      <c r="A23" s="1"/>
      <c r="B23" s="92"/>
      <c r="C23" s="3"/>
      <c r="D23" s="4"/>
      <c r="E23" s="4"/>
      <c r="F23" s="12"/>
      <c r="G23" s="93"/>
      <c r="H23" s="25" t="str">
        <f>IF(F23=0," ",VLOOKUP(F23,[9]Sheet1!$A$1:$B$8,2,FALSE))</f>
        <v xml:space="preserve"> </v>
      </c>
    </row>
    <row r="24" spans="1:8" ht="15.75" thickBot="1" x14ac:dyDescent="0.3">
      <c r="A24" s="517" t="s">
        <v>5</v>
      </c>
      <c r="B24" s="518"/>
      <c r="C24" s="518"/>
      <c r="D24" s="523"/>
      <c r="E24" s="102">
        <f>SUM(E22:E23)</f>
        <v>0</v>
      </c>
      <c r="F24" s="12"/>
      <c r="G24" s="93"/>
      <c r="H24" s="25" t="str">
        <f>IF(F24=0," ",VLOOKUP(F24,[9]Sheet1!$A$1:$B$8,2,FALSE))</f>
        <v xml:space="preserve"> </v>
      </c>
    </row>
    <row r="25" spans="1:8" ht="15.75" thickBot="1" x14ac:dyDescent="0.3">
      <c r="A25" s="520" t="s">
        <v>169</v>
      </c>
      <c r="B25" s="521"/>
      <c r="C25" s="521"/>
      <c r="D25" s="521"/>
      <c r="E25" s="521"/>
      <c r="F25" s="521"/>
      <c r="G25" s="522"/>
      <c r="H25" s="37"/>
    </row>
    <row r="26" spans="1:8" ht="15.75" thickBot="1" x14ac:dyDescent="0.3">
      <c r="A26" s="1"/>
      <c r="B26" s="3"/>
      <c r="C26" s="3"/>
      <c r="D26" s="4"/>
      <c r="E26" s="4"/>
      <c r="F26" s="12"/>
      <c r="G26" s="93"/>
      <c r="H26" s="25" t="str">
        <f>IF(F26=0," ",VLOOKUP(F26,[9]Sheet1!$A$1:$B$8,2,FALSE))</f>
        <v xml:space="preserve"> </v>
      </c>
    </row>
    <row r="27" spans="1:8" ht="15.75" thickBot="1" x14ac:dyDescent="0.3">
      <c r="A27" s="1"/>
      <c r="B27" s="92"/>
      <c r="C27" s="3"/>
      <c r="D27" s="4"/>
      <c r="E27" s="4"/>
      <c r="F27" s="12"/>
      <c r="G27" s="93"/>
      <c r="H27" s="25" t="str">
        <f>IF(F27=0," ",VLOOKUP(F27,[9]Sheet1!$A$1:$B$8,2,FALSE))</f>
        <v xml:space="preserve"> </v>
      </c>
    </row>
    <row r="28" spans="1:8" ht="15.75" thickBot="1" x14ac:dyDescent="0.3">
      <c r="A28" s="517" t="s">
        <v>6</v>
      </c>
      <c r="B28" s="518"/>
      <c r="C28" s="518"/>
      <c r="D28" s="523"/>
      <c r="E28" s="102"/>
      <c r="F28" s="12"/>
      <c r="G28" s="93"/>
      <c r="H28" s="25" t="str">
        <f>IF(F28=0," ",VLOOKUP(F28,[9]Sheet1!$A$1:$B$8,2,FALSE))</f>
        <v xml:space="preserve"> </v>
      </c>
    </row>
    <row r="29" spans="1:8" ht="15.75" thickBot="1" x14ac:dyDescent="0.3">
      <c r="A29" s="79" t="s">
        <v>170</v>
      </c>
      <c r="B29" s="80"/>
      <c r="C29" s="80"/>
      <c r="D29" s="80"/>
      <c r="E29" s="80"/>
      <c r="F29" s="80"/>
      <c r="G29" s="81"/>
      <c r="H29" s="37"/>
    </row>
    <row r="30" spans="1:8" ht="15.75" thickBot="1" x14ac:dyDescent="0.3">
      <c r="A30" s="1"/>
      <c r="B30" s="2"/>
      <c r="C30" s="3"/>
      <c r="D30" s="4"/>
      <c r="E30" s="4"/>
      <c r="F30" s="12"/>
      <c r="G30" s="93"/>
      <c r="H30" s="25" t="str">
        <f>IF(F30=0," ",VLOOKUP(F30,[9]Sheet1!$A$1:$B$8,2,FALSE))</f>
        <v xml:space="preserve"> </v>
      </c>
    </row>
    <row r="31" spans="1:8" ht="15.75" thickBot="1" x14ac:dyDescent="0.3">
      <c r="A31" s="1"/>
      <c r="B31" s="92"/>
      <c r="C31" s="3"/>
      <c r="D31" s="4"/>
      <c r="E31" s="4"/>
      <c r="F31" s="12"/>
      <c r="G31" s="93"/>
      <c r="H31" s="25" t="str">
        <f>IF(F31=0," ",VLOOKUP(F31,[9]Sheet1!$A$1:$B$8,2,FALSE))</f>
        <v xml:space="preserve"> </v>
      </c>
    </row>
    <row r="32" spans="1:8" ht="15.75" thickBot="1" x14ac:dyDescent="0.3">
      <c r="A32" s="517" t="s">
        <v>123</v>
      </c>
      <c r="B32" s="518"/>
      <c r="C32" s="518"/>
      <c r="D32" s="519"/>
      <c r="E32" s="102"/>
      <c r="F32" s="12"/>
      <c r="G32" s="93"/>
      <c r="H32" s="104"/>
    </row>
    <row r="33" spans="1:8" ht="15.75" thickBot="1" x14ac:dyDescent="0.3">
      <c r="A33" s="526" t="s">
        <v>11</v>
      </c>
      <c r="B33" s="527"/>
      <c r="C33" s="527"/>
      <c r="D33" s="528"/>
      <c r="E33" s="105">
        <f>E14+E20+E24+E28+E32</f>
        <v>1400000</v>
      </c>
      <c r="F33" s="93"/>
      <c r="G33" s="93"/>
      <c r="H33" s="38"/>
    </row>
    <row r="34" spans="1:8" ht="15.75" thickBot="1" x14ac:dyDescent="0.3">
      <c r="A34" s="532" t="s">
        <v>12</v>
      </c>
      <c r="B34" s="533"/>
      <c r="C34" s="533"/>
      <c r="D34" s="533"/>
      <c r="E34" s="533"/>
      <c r="F34" s="533"/>
      <c r="G34" s="534"/>
      <c r="H34" s="39"/>
    </row>
    <row r="35" spans="1:8" ht="23.25" thickBot="1" x14ac:dyDescent="0.3">
      <c r="A35" s="526" t="s">
        <v>13</v>
      </c>
      <c r="B35" s="527"/>
      <c r="C35" s="527"/>
      <c r="D35" s="528"/>
      <c r="E35" s="6"/>
      <c r="F35" s="93"/>
      <c r="G35" s="93"/>
      <c r="H35" s="40" t="s">
        <v>40</v>
      </c>
    </row>
    <row r="36" spans="1:8" ht="15.75" thickBot="1" x14ac:dyDescent="0.3">
      <c r="A36" s="529" t="s">
        <v>22</v>
      </c>
      <c r="B36" s="530"/>
      <c r="C36" s="530"/>
      <c r="D36" s="531"/>
      <c r="E36" s="106">
        <f>E33+E35</f>
        <v>1400000</v>
      </c>
      <c r="F36" s="93"/>
      <c r="G36" s="93"/>
      <c r="H36" s="41"/>
    </row>
    <row r="37" spans="1:8" ht="15.75" thickBot="1" x14ac:dyDescent="0.3">
      <c r="A37" s="15"/>
      <c r="B37" s="15"/>
      <c r="C37" s="15"/>
      <c r="D37" s="15"/>
      <c r="E37" s="15"/>
      <c r="F37" s="15"/>
      <c r="G37" s="15"/>
      <c r="H37" s="29"/>
    </row>
    <row r="38" spans="1:8" ht="15.75" thickBot="1" x14ac:dyDescent="0.3">
      <c r="A38" s="486" t="s">
        <v>19</v>
      </c>
      <c r="B38" s="486"/>
      <c r="C38" s="486"/>
      <c r="D38" s="486"/>
      <c r="E38" s="9">
        <f>SUM(E14)</f>
        <v>1000</v>
      </c>
      <c r="F38" s="15"/>
      <c r="G38" s="15"/>
      <c r="H38" s="29"/>
    </row>
    <row r="39" spans="1:8" ht="15.75" thickBot="1" x14ac:dyDescent="0.3">
      <c r="A39" s="486" t="s">
        <v>20</v>
      </c>
      <c r="B39" s="486"/>
      <c r="C39" s="486"/>
      <c r="D39" s="486"/>
      <c r="E39" s="6">
        <f>SUM(E20)</f>
        <v>1399000</v>
      </c>
      <c r="F39" s="15"/>
      <c r="G39" s="15"/>
      <c r="H39" s="29"/>
    </row>
    <row r="40" spans="1:8" x14ac:dyDescent="0.25">
      <c r="A40" s="15"/>
      <c r="B40" s="15"/>
      <c r="C40" s="15"/>
      <c r="D40" s="15"/>
      <c r="E40" s="15"/>
      <c r="F40" s="15"/>
      <c r="G40" s="15"/>
      <c r="H40" s="29"/>
    </row>
    <row r="41" spans="1:8" ht="15.75" thickBot="1" x14ac:dyDescent="0.3">
      <c r="A41" s="15"/>
      <c r="B41" s="15"/>
      <c r="C41" s="15"/>
      <c r="D41" s="15"/>
      <c r="E41" s="15"/>
      <c r="F41" s="15"/>
      <c r="G41" s="15"/>
      <c r="H41" s="29"/>
    </row>
    <row r="42" spans="1:8" ht="23.25" thickBot="1" x14ac:dyDescent="0.3">
      <c r="A42" s="21" t="s">
        <v>35</v>
      </c>
      <c r="B42" s="19" t="s">
        <v>27</v>
      </c>
      <c r="C42" s="19" t="s">
        <v>28</v>
      </c>
      <c r="D42" s="19" t="s">
        <v>29</v>
      </c>
      <c r="E42" s="19" t="s">
        <v>30</v>
      </c>
      <c r="F42" s="19" t="s">
        <v>31</v>
      </c>
      <c r="G42" s="19" t="s">
        <v>25</v>
      </c>
      <c r="H42" s="42" t="s">
        <v>26</v>
      </c>
    </row>
    <row r="43" spans="1:8" ht="15.75" thickBot="1" x14ac:dyDescent="0.3">
      <c r="A43" s="79" t="s">
        <v>50</v>
      </c>
      <c r="B43" s="2">
        <v>1000</v>
      </c>
      <c r="C43" s="2">
        <v>3496</v>
      </c>
      <c r="D43" s="3"/>
      <c r="E43" s="4"/>
      <c r="F43" s="4"/>
      <c r="G43" s="2">
        <v>4496</v>
      </c>
      <c r="H43" s="281">
        <f>G43/G52</f>
        <v>3.2114285714285712E-3</v>
      </c>
    </row>
    <row r="44" spans="1:8" ht="23.25" thickBot="1" x14ac:dyDescent="0.3">
      <c r="A44" s="79" t="s">
        <v>51</v>
      </c>
      <c r="B44" s="1"/>
      <c r="C44" s="2">
        <v>1500</v>
      </c>
      <c r="D44" s="3"/>
      <c r="E44" s="4"/>
      <c r="F44" s="4"/>
      <c r="G44" s="2">
        <v>1500</v>
      </c>
      <c r="H44" s="281">
        <f>G44/G52</f>
        <v>1.0714285714285715E-3</v>
      </c>
    </row>
    <row r="45" spans="1:8" ht="23.25" thickBot="1" x14ac:dyDescent="0.3">
      <c r="A45" s="79" t="s">
        <v>52</v>
      </c>
      <c r="B45" s="1"/>
      <c r="C45" s="2"/>
      <c r="D45" s="3"/>
      <c r="E45" s="4"/>
      <c r="F45" s="4"/>
      <c r="G45" s="12"/>
      <c r="H45" s="281">
        <f>G45/G52</f>
        <v>0</v>
      </c>
    </row>
    <row r="46" spans="1:8" ht="23.25" thickBot="1" x14ac:dyDescent="0.3">
      <c r="A46" s="79" t="s">
        <v>53</v>
      </c>
      <c r="B46" s="1"/>
      <c r="C46" s="2">
        <v>1364004</v>
      </c>
      <c r="D46" s="3"/>
      <c r="E46" s="4"/>
      <c r="F46" s="4"/>
      <c r="G46" s="2">
        <v>1364004</v>
      </c>
      <c r="H46" s="281">
        <f>G46/G52</f>
        <v>0.97428857142857139</v>
      </c>
    </row>
    <row r="47" spans="1:8" ht="23.25" thickBot="1" x14ac:dyDescent="0.3">
      <c r="A47" s="79" t="s">
        <v>54</v>
      </c>
      <c r="B47" s="1"/>
      <c r="C47" s="2"/>
      <c r="D47" s="3"/>
      <c r="E47" s="4"/>
      <c r="F47" s="4"/>
      <c r="G47" s="12"/>
      <c r="H47" s="281">
        <f>G47/G52</f>
        <v>0</v>
      </c>
    </row>
    <row r="48" spans="1:8" ht="15.75" thickBot="1" x14ac:dyDescent="0.3">
      <c r="A48" s="79" t="s">
        <v>55</v>
      </c>
      <c r="B48" s="2"/>
      <c r="C48" s="2">
        <v>30000</v>
      </c>
      <c r="D48" s="3"/>
      <c r="E48" s="4"/>
      <c r="F48" s="4"/>
      <c r="G48" s="2">
        <v>30000</v>
      </c>
      <c r="H48" s="281">
        <f>G48/G52</f>
        <v>2.1428571428571429E-2</v>
      </c>
    </row>
    <row r="49" spans="1:8" ht="23.25" thickBot="1" x14ac:dyDescent="0.3">
      <c r="A49" s="79" t="s">
        <v>56</v>
      </c>
      <c r="B49" s="1"/>
      <c r="C49" s="2"/>
      <c r="D49" s="3"/>
      <c r="E49" s="4"/>
      <c r="F49" s="4"/>
      <c r="G49" s="12"/>
      <c r="H49" s="281">
        <f>G49/G52</f>
        <v>0</v>
      </c>
    </row>
    <row r="50" spans="1:8" ht="23.25" thickBot="1" x14ac:dyDescent="0.3">
      <c r="A50" s="79" t="s">
        <v>57</v>
      </c>
      <c r="B50" s="1"/>
      <c r="C50" s="108"/>
      <c r="D50" s="2">
        <v>0</v>
      </c>
      <c r="E50" s="4"/>
      <c r="F50" s="4"/>
      <c r="G50" s="2">
        <v>0</v>
      </c>
      <c r="H50" s="281">
        <f>G50/G52</f>
        <v>0</v>
      </c>
    </row>
    <row r="51" spans="1:8" ht="15.75" thickBot="1" x14ac:dyDescent="0.3">
      <c r="A51" s="79" t="s">
        <v>32</v>
      </c>
      <c r="B51" s="1"/>
      <c r="C51" s="2"/>
      <c r="D51" s="3"/>
      <c r="E51" s="4"/>
      <c r="F51" s="4"/>
      <c r="G51" s="12"/>
      <c r="H51" s="281">
        <f>G51/G52</f>
        <v>0</v>
      </c>
    </row>
    <row r="52" spans="1:8" ht="15.75" thickBot="1" x14ac:dyDescent="0.3">
      <c r="A52" s="19" t="s">
        <v>33</v>
      </c>
      <c r="B52" s="1">
        <f>SUM(B43:B51)</f>
        <v>1000</v>
      </c>
      <c r="C52" s="1">
        <f t="shared" ref="C52:F52" si="0">SUM(C43:C51)</f>
        <v>1399000</v>
      </c>
      <c r="D52" s="1">
        <f t="shared" si="0"/>
        <v>0</v>
      </c>
      <c r="E52" s="1">
        <f t="shared" si="0"/>
        <v>0</v>
      </c>
      <c r="F52" s="1">
        <f t="shared" si="0"/>
        <v>0</v>
      </c>
      <c r="G52" s="1">
        <f>SUM(G43:G51)</f>
        <v>1400000</v>
      </c>
      <c r="H52" s="43"/>
    </row>
    <row r="53" spans="1:8" ht="15.75" thickBot="1" x14ac:dyDescent="0.3">
      <c r="A53" s="19" t="s">
        <v>34</v>
      </c>
      <c r="B53" s="98">
        <f>B52/G52</f>
        <v>7.1428571428571429E-4</v>
      </c>
      <c r="C53" s="98">
        <f>C52/G52</f>
        <v>0.99928571428571433</v>
      </c>
      <c r="D53" s="98">
        <f>D52/G52</f>
        <v>0</v>
      </c>
      <c r="E53" s="98">
        <f>E52/G52</f>
        <v>0</v>
      </c>
      <c r="F53" s="98">
        <f>F52/G52</f>
        <v>0</v>
      </c>
      <c r="G53" s="98">
        <f>G52/G52</f>
        <v>1</v>
      </c>
      <c r="H53" s="43"/>
    </row>
    <row r="60" spans="1:8" x14ac:dyDescent="0.25">
      <c r="A60" s="292" t="s">
        <v>538</v>
      </c>
      <c r="B60" s="294">
        <f>SUM(E13+E17+E18)</f>
        <v>5996</v>
      </c>
    </row>
    <row r="61" spans="1:8" x14ac:dyDescent="0.25">
      <c r="A61" s="292" t="s">
        <v>539</v>
      </c>
      <c r="B61" s="294"/>
    </row>
    <row r="62" spans="1:8" x14ac:dyDescent="0.25">
      <c r="A62" s="293" t="s">
        <v>34</v>
      </c>
      <c r="B62" s="295">
        <f>(B60+B61)/E36</f>
        <v>4.2828571428571429E-3</v>
      </c>
    </row>
  </sheetData>
  <mergeCells count="22">
    <mergeCell ref="A21:G21"/>
    <mergeCell ref="B3:G3"/>
    <mergeCell ref="B4:G4"/>
    <mergeCell ref="B5:G5"/>
    <mergeCell ref="B6:G6"/>
    <mergeCell ref="B7:G7"/>
    <mergeCell ref="B8:G8"/>
    <mergeCell ref="A11:G11"/>
    <mergeCell ref="A12:G12"/>
    <mergeCell ref="A14:D14"/>
    <mergeCell ref="A15:G15"/>
    <mergeCell ref="A20:D20"/>
    <mergeCell ref="A35:D35"/>
    <mergeCell ref="A36:D36"/>
    <mergeCell ref="A38:D38"/>
    <mergeCell ref="A39:D39"/>
    <mergeCell ref="A24:D24"/>
    <mergeCell ref="A25:G25"/>
    <mergeCell ref="A28:D28"/>
    <mergeCell ref="A32:D32"/>
    <mergeCell ref="A33:D33"/>
    <mergeCell ref="A34:G3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[9]Sheet1!#REF!</xm:f>
          </x14:formula1>
          <xm:sqref>F30:F32 F22:F24 F26:F28 F13:F14 F16:F20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topLeftCell="A43" workbookViewId="0">
      <selection activeCell="B67" sqref="B67"/>
    </sheetView>
  </sheetViews>
  <sheetFormatPr defaultRowHeight="15" x14ac:dyDescent="0.25"/>
  <cols>
    <col min="1" max="1" width="41" customWidth="1"/>
    <col min="2" max="5" width="10.5703125" customWidth="1"/>
    <col min="6" max="6" width="17.85546875" customWidth="1"/>
    <col min="7" max="7" width="35.42578125" customWidth="1"/>
    <col min="8" max="8" width="33.140625" customWidth="1"/>
    <col min="13" max="13" width="10" bestFit="1" customWidth="1"/>
  </cols>
  <sheetData>
    <row r="1" spans="1:8" x14ac:dyDescent="0.25">
      <c r="A1" s="13" t="s">
        <v>17</v>
      </c>
      <c r="B1" s="14"/>
      <c r="C1" s="14"/>
      <c r="D1" s="15"/>
      <c r="E1" s="109"/>
      <c r="F1" s="15"/>
      <c r="G1" s="15"/>
      <c r="H1" s="29"/>
    </row>
    <row r="2" spans="1:8" ht="15.75" thickBot="1" x14ac:dyDescent="0.3">
      <c r="A2" s="15"/>
      <c r="B2" s="15"/>
      <c r="C2" s="15"/>
      <c r="D2" s="15"/>
      <c r="E2" s="109"/>
      <c r="F2" s="15"/>
      <c r="G2" s="15"/>
      <c r="H2" s="29"/>
    </row>
    <row r="3" spans="1:8" ht="15.75" thickBot="1" x14ac:dyDescent="0.3">
      <c r="A3" s="7" t="s">
        <v>7</v>
      </c>
      <c r="B3" s="499" t="s">
        <v>171</v>
      </c>
      <c r="C3" s="500"/>
      <c r="D3" s="500"/>
      <c r="E3" s="500"/>
      <c r="F3" s="500"/>
      <c r="G3" s="501"/>
      <c r="H3" s="30"/>
    </row>
    <row r="4" spans="1:8" ht="15.75" thickBot="1" x14ac:dyDescent="0.3">
      <c r="A4" s="8" t="s">
        <v>15</v>
      </c>
      <c r="B4" s="499" t="s">
        <v>172</v>
      </c>
      <c r="C4" s="500"/>
      <c r="D4" s="500"/>
      <c r="E4" s="500"/>
      <c r="F4" s="500"/>
      <c r="G4" s="501"/>
      <c r="H4" s="30"/>
    </row>
    <row r="5" spans="1:8" ht="15.75" thickBot="1" x14ac:dyDescent="0.3">
      <c r="A5" s="8" t="s">
        <v>8</v>
      </c>
      <c r="B5" s="499" t="s">
        <v>173</v>
      </c>
      <c r="C5" s="500"/>
      <c r="D5" s="500"/>
      <c r="E5" s="500"/>
      <c r="F5" s="500"/>
      <c r="G5" s="501"/>
      <c r="H5" s="30"/>
    </row>
    <row r="6" spans="1:8" ht="15.75" thickBot="1" x14ac:dyDescent="0.3">
      <c r="A6" s="8" t="s">
        <v>16</v>
      </c>
      <c r="B6" s="502">
        <v>290000</v>
      </c>
      <c r="C6" s="503"/>
      <c r="D6" s="503"/>
      <c r="E6" s="503"/>
      <c r="F6" s="503"/>
      <c r="G6" s="504"/>
      <c r="H6" s="31"/>
    </row>
    <row r="7" spans="1:8" ht="15.75" thickBot="1" x14ac:dyDescent="0.3">
      <c r="A7" s="8" t="s">
        <v>2</v>
      </c>
      <c r="B7" s="505">
        <v>1</v>
      </c>
      <c r="C7" s="506"/>
      <c r="D7" s="506"/>
      <c r="E7" s="506"/>
      <c r="F7" s="506"/>
      <c r="G7" s="507"/>
      <c r="H7" s="32"/>
    </row>
    <row r="8" spans="1:8" ht="15.75" thickBot="1" x14ac:dyDescent="0.3">
      <c r="A8" s="8" t="s">
        <v>9</v>
      </c>
      <c r="B8" s="508" t="s">
        <v>110</v>
      </c>
      <c r="C8" s="509"/>
      <c r="D8" s="509"/>
      <c r="E8" s="509"/>
      <c r="F8" s="509"/>
      <c r="G8" s="510"/>
      <c r="H8" s="32"/>
    </row>
    <row r="9" spans="1:8" ht="15.75" thickBot="1" x14ac:dyDescent="0.3">
      <c r="A9" s="23"/>
      <c r="B9" s="24"/>
      <c r="C9" s="22"/>
      <c r="D9" s="22"/>
      <c r="E9" s="110"/>
      <c r="F9" s="22"/>
      <c r="G9" s="22"/>
      <c r="H9" s="33"/>
    </row>
    <row r="10" spans="1:8" ht="34.5" thickBot="1" x14ac:dyDescent="0.3">
      <c r="A10" s="28"/>
      <c r="B10" s="26" t="s">
        <v>0</v>
      </c>
      <c r="C10" s="26" t="s">
        <v>14</v>
      </c>
      <c r="D10" s="26" t="s">
        <v>23</v>
      </c>
      <c r="E10" s="111" t="s">
        <v>18</v>
      </c>
      <c r="F10" s="26" t="s">
        <v>10</v>
      </c>
      <c r="G10" s="27" t="s">
        <v>1</v>
      </c>
      <c r="H10" s="34" t="s">
        <v>36</v>
      </c>
    </row>
    <row r="11" spans="1:8" ht="15.75" thickBot="1" x14ac:dyDescent="0.3">
      <c r="A11" s="511" t="s">
        <v>21</v>
      </c>
      <c r="B11" s="512"/>
      <c r="C11" s="512"/>
      <c r="D11" s="512"/>
      <c r="E11" s="512"/>
      <c r="F11" s="512"/>
      <c r="G11" s="513"/>
      <c r="H11" s="35"/>
    </row>
    <row r="12" spans="1:8" ht="15.75" thickBot="1" x14ac:dyDescent="0.3">
      <c r="A12" s="514" t="s">
        <v>24</v>
      </c>
      <c r="B12" s="515"/>
      <c r="C12" s="515"/>
      <c r="D12" s="515"/>
      <c r="E12" s="515"/>
      <c r="F12" s="515"/>
      <c r="G12" s="516"/>
      <c r="H12" s="36"/>
    </row>
    <row r="13" spans="1:8" ht="15.75" thickBot="1" x14ac:dyDescent="0.3">
      <c r="A13" s="1" t="s">
        <v>174</v>
      </c>
      <c r="B13" s="2"/>
      <c r="C13" s="3"/>
      <c r="D13" s="4"/>
      <c r="E13" s="112">
        <v>2249.6799999999998</v>
      </c>
      <c r="F13" s="12"/>
      <c r="G13" s="5"/>
      <c r="H13" s="25" t="str">
        <f>IF(F13=0,"  ",VLOOKUP(F13,[10]Sheet1!$A$1:$B$8,2,FALSE))</f>
        <v xml:space="preserve">  </v>
      </c>
    </row>
    <row r="14" spans="1:8" ht="15.75" thickBot="1" x14ac:dyDescent="0.3">
      <c r="A14" s="1"/>
      <c r="B14" s="92"/>
      <c r="C14" s="3"/>
      <c r="D14" s="4"/>
      <c r="E14" s="112"/>
      <c r="F14" s="12"/>
      <c r="G14" s="5"/>
      <c r="H14" s="25" t="str">
        <f>IF(F14=0," ",VLOOKUP(F14,[10]Sheet1!$A$1:$B$8,2,FALSE))</f>
        <v xml:space="preserve"> </v>
      </c>
    </row>
    <row r="15" spans="1:8" ht="15.75" thickBot="1" x14ac:dyDescent="0.3">
      <c r="A15" s="517" t="s">
        <v>3</v>
      </c>
      <c r="B15" s="518"/>
      <c r="C15" s="518"/>
      <c r="D15" s="519"/>
      <c r="E15" s="113">
        <f>SUM(E14+E13)</f>
        <v>2249.6799999999998</v>
      </c>
      <c r="F15" s="12"/>
      <c r="G15" s="87"/>
      <c r="H15" s="25" t="str">
        <f>IF(F15=0," ",VLOOKUP(F15,[10]Sheet1!$A$1:$B$8,2,FALSE))</f>
        <v xml:space="preserve"> </v>
      </c>
    </row>
    <row r="16" spans="1:8" ht="15.75" thickBot="1" x14ac:dyDescent="0.3">
      <c r="A16" s="520" t="s">
        <v>175</v>
      </c>
      <c r="B16" s="521"/>
      <c r="C16" s="521"/>
      <c r="D16" s="521"/>
      <c r="E16" s="521"/>
      <c r="F16" s="521"/>
      <c r="G16" s="522"/>
      <c r="H16" s="37"/>
    </row>
    <row r="17" spans="1:8" ht="45.75" thickBot="1" x14ac:dyDescent="0.3">
      <c r="A17" s="1" t="s">
        <v>176</v>
      </c>
      <c r="B17" s="3" t="s">
        <v>177</v>
      </c>
      <c r="C17" s="3">
        <v>2</v>
      </c>
      <c r="D17" s="112">
        <v>1227.0999999999999</v>
      </c>
      <c r="E17" s="112">
        <f>(C17*D17)</f>
        <v>2454.1999999999998</v>
      </c>
      <c r="F17" s="12" t="s">
        <v>53</v>
      </c>
      <c r="G17" s="93"/>
      <c r="H17" s="25" t="str">
        <f>IF(F17=0," ",VLOOKUP(F17,[10]Sheet1!$A$1:$B$8,2,FALSE))</f>
        <v xml:space="preserve">Refer to a document confirming that the PO determined the equipment as integral and necessary for achieving the outcomes of the PDP. </v>
      </c>
    </row>
    <row r="18" spans="1:8" ht="34.5" thickBot="1" x14ac:dyDescent="0.3">
      <c r="A18" s="1" t="s">
        <v>178</v>
      </c>
      <c r="B18" s="3" t="s">
        <v>177</v>
      </c>
      <c r="C18" s="3">
        <v>23</v>
      </c>
      <c r="D18" s="112">
        <v>332.34</v>
      </c>
      <c r="E18" s="112">
        <f t="shared" ref="E18:E26" si="0">(C18*D18)</f>
        <v>7643.82</v>
      </c>
      <c r="F18" s="12" t="s">
        <v>53</v>
      </c>
      <c r="G18" s="93"/>
      <c r="H18" s="25"/>
    </row>
    <row r="19" spans="1:8" ht="34.5" thickBot="1" x14ac:dyDescent="0.3">
      <c r="A19" s="1" t="s">
        <v>179</v>
      </c>
      <c r="B19" s="3" t="s">
        <v>177</v>
      </c>
      <c r="C19" s="3">
        <v>25</v>
      </c>
      <c r="D19" s="112">
        <v>92.03</v>
      </c>
      <c r="E19" s="112">
        <f t="shared" si="0"/>
        <v>2300.75</v>
      </c>
      <c r="F19" s="12" t="s">
        <v>53</v>
      </c>
      <c r="G19" s="93"/>
      <c r="H19" s="25"/>
    </row>
    <row r="20" spans="1:8" ht="34.5" thickBot="1" x14ac:dyDescent="0.3">
      <c r="A20" s="1" t="s">
        <v>180</v>
      </c>
      <c r="B20" s="3" t="s">
        <v>177</v>
      </c>
      <c r="C20" s="3">
        <v>2</v>
      </c>
      <c r="D20" s="112">
        <v>66.47</v>
      </c>
      <c r="E20" s="112">
        <f t="shared" si="0"/>
        <v>132.94</v>
      </c>
      <c r="F20" s="12" t="s">
        <v>53</v>
      </c>
      <c r="G20" s="93"/>
      <c r="H20" s="25"/>
    </row>
    <row r="21" spans="1:8" ht="34.5" thickBot="1" x14ac:dyDescent="0.3">
      <c r="A21" s="1" t="s">
        <v>181</v>
      </c>
      <c r="B21" s="3" t="s">
        <v>177</v>
      </c>
      <c r="C21" s="3">
        <v>73</v>
      </c>
      <c r="D21" s="112">
        <v>12.78</v>
      </c>
      <c r="E21" s="112">
        <f t="shared" si="0"/>
        <v>932.93999999999994</v>
      </c>
      <c r="F21" s="12" t="s">
        <v>53</v>
      </c>
      <c r="G21" s="93"/>
      <c r="H21" s="25"/>
    </row>
    <row r="22" spans="1:8" ht="34.5" thickBot="1" x14ac:dyDescent="0.3">
      <c r="A22" s="1" t="s">
        <v>182</v>
      </c>
      <c r="B22" s="3" t="s">
        <v>177</v>
      </c>
      <c r="C22" s="3">
        <v>1</v>
      </c>
      <c r="D22" s="112">
        <v>204.52</v>
      </c>
      <c r="E22" s="112">
        <f t="shared" si="0"/>
        <v>204.52</v>
      </c>
      <c r="F22" s="12" t="s">
        <v>53</v>
      </c>
      <c r="G22" s="93"/>
      <c r="H22" s="25"/>
    </row>
    <row r="23" spans="1:8" ht="34.5" thickBot="1" x14ac:dyDescent="0.3">
      <c r="A23" s="1" t="s">
        <v>183</v>
      </c>
      <c r="B23" s="3" t="s">
        <v>177</v>
      </c>
      <c r="C23" s="3">
        <v>1</v>
      </c>
      <c r="D23" s="112">
        <v>1994.04</v>
      </c>
      <c r="E23" s="112">
        <f t="shared" si="0"/>
        <v>1994.04</v>
      </c>
      <c r="F23" s="12" t="s">
        <v>53</v>
      </c>
      <c r="G23" s="93"/>
      <c r="H23" s="25"/>
    </row>
    <row r="24" spans="1:8" ht="34.5" thickBot="1" x14ac:dyDescent="0.3">
      <c r="A24" s="1" t="s">
        <v>184</v>
      </c>
      <c r="B24" s="3" t="s">
        <v>177</v>
      </c>
      <c r="C24" s="3">
        <v>50</v>
      </c>
      <c r="D24" s="112">
        <v>127.82</v>
      </c>
      <c r="E24" s="112">
        <f t="shared" si="0"/>
        <v>6391</v>
      </c>
      <c r="F24" s="12" t="s">
        <v>53</v>
      </c>
      <c r="G24" s="93"/>
      <c r="H24" s="25"/>
    </row>
    <row r="25" spans="1:8" ht="34.5" thickBot="1" x14ac:dyDescent="0.3">
      <c r="A25" s="1" t="s">
        <v>185</v>
      </c>
      <c r="B25" s="3" t="s">
        <v>177</v>
      </c>
      <c r="C25" s="3">
        <v>1</v>
      </c>
      <c r="D25" s="112">
        <v>1840.65</v>
      </c>
      <c r="E25" s="112">
        <f t="shared" si="0"/>
        <v>1840.65</v>
      </c>
      <c r="F25" s="12" t="s">
        <v>53</v>
      </c>
      <c r="G25" s="93"/>
      <c r="H25" s="25"/>
    </row>
    <row r="26" spans="1:8" ht="45.75" thickBot="1" x14ac:dyDescent="0.3">
      <c r="A26" s="1" t="s">
        <v>186</v>
      </c>
      <c r="B26" s="3" t="s">
        <v>177</v>
      </c>
      <c r="C26" s="3">
        <v>1</v>
      </c>
      <c r="D26" s="112">
        <v>971.45</v>
      </c>
      <c r="E26" s="112">
        <f t="shared" si="0"/>
        <v>971.45</v>
      </c>
      <c r="F26" s="12" t="s">
        <v>53</v>
      </c>
      <c r="G26" s="93"/>
      <c r="H26" s="25" t="str">
        <f>IF(F26=0," ",VLOOKUP(F26,[10]Sheet1!$A$1:$B$8,2,FALSE))</f>
        <v xml:space="preserve">Refer to a document confirming that the PO determined the equipment as integral and necessary for achieving the outcomes of the PDP. </v>
      </c>
    </row>
    <row r="27" spans="1:8" ht="15.75" thickBot="1" x14ac:dyDescent="0.3">
      <c r="A27" s="517" t="s">
        <v>4</v>
      </c>
      <c r="B27" s="518"/>
      <c r="C27" s="518"/>
      <c r="D27" s="523"/>
      <c r="E27" s="113">
        <f>SUM(E17:E26)</f>
        <v>24866.310000000005</v>
      </c>
      <c r="F27" s="12"/>
      <c r="G27" s="93"/>
      <c r="H27" s="25" t="str">
        <f>IF(F27=0," ",VLOOKUP(F27,[10]Sheet1!$A$1:$B$8,2,FALSE))</f>
        <v xml:space="preserve"> </v>
      </c>
    </row>
    <row r="28" spans="1:8" ht="15.75" thickBot="1" x14ac:dyDescent="0.3">
      <c r="A28" s="520" t="s">
        <v>187</v>
      </c>
      <c r="B28" s="521"/>
      <c r="C28" s="521"/>
      <c r="D28" s="521"/>
      <c r="E28" s="521"/>
      <c r="F28" s="521"/>
      <c r="G28" s="522"/>
      <c r="H28" s="37"/>
    </row>
    <row r="29" spans="1:8" ht="57" thickBot="1" x14ac:dyDescent="0.3">
      <c r="A29" s="1" t="s">
        <v>188</v>
      </c>
      <c r="B29" s="3" t="s">
        <v>177</v>
      </c>
      <c r="C29" s="3">
        <v>60</v>
      </c>
      <c r="D29" s="4">
        <v>383.46</v>
      </c>
      <c r="E29" s="112">
        <v>23008.13</v>
      </c>
      <c r="F29" s="12" t="s">
        <v>57</v>
      </c>
      <c r="G29" s="93"/>
      <c r="H29" s="25" t="str">
        <f>IF(F29=0," ",VLOOKUP(F29,[10]Sheet1!$A$1:$B$8,2,FALSE))</f>
        <v>Include a reference to the relevant article of the project contract.
Examples of costs: information/publicity, translations, specific evaluation, audits, charges for financial transactions, etc.</v>
      </c>
    </row>
    <row r="30" spans="1:8" ht="15.75" thickBot="1" x14ac:dyDescent="0.3">
      <c r="A30" s="1" t="s">
        <v>189</v>
      </c>
      <c r="B30" s="3" t="s">
        <v>177</v>
      </c>
      <c r="C30" s="3">
        <v>16</v>
      </c>
      <c r="D30" s="4">
        <v>1342.14</v>
      </c>
      <c r="E30" s="112">
        <v>21474.26</v>
      </c>
      <c r="F30" s="12"/>
      <c r="G30" s="93"/>
      <c r="H30" s="25" t="str">
        <f>IF(F30=0," ",VLOOKUP(F30,[10]Sheet1!$A$1:$B$8,2,FALSE))</f>
        <v xml:space="preserve"> </v>
      </c>
    </row>
    <row r="31" spans="1:8" ht="15.75" thickBot="1" x14ac:dyDescent="0.3">
      <c r="A31" s="517" t="s">
        <v>5</v>
      </c>
      <c r="B31" s="518"/>
      <c r="C31" s="518"/>
      <c r="D31" s="523"/>
      <c r="E31" s="113">
        <f>SUM(E29:E30)</f>
        <v>44482.39</v>
      </c>
      <c r="G31" s="93"/>
      <c r="H31" s="12"/>
    </row>
    <row r="32" spans="1:8" ht="34.5" thickBot="1" x14ac:dyDescent="0.3">
      <c r="A32" s="114" t="s">
        <v>190</v>
      </c>
      <c r="B32" s="115"/>
      <c r="C32" s="115"/>
      <c r="D32" s="115"/>
      <c r="E32" s="116"/>
      <c r="F32" s="114"/>
      <c r="G32" s="115"/>
      <c r="H32" s="115" t="str">
        <f>IF(F32=0," ",VLOOKUP(F32,[10]Sheet1!$A$1:$B$8,2,FALSE))</f>
        <v xml:space="preserve"> </v>
      </c>
    </row>
    <row r="33" spans="1:10" ht="34.5" thickBot="1" x14ac:dyDescent="0.3">
      <c r="A33" s="1" t="s">
        <v>191</v>
      </c>
      <c r="B33" s="3" t="s">
        <v>177</v>
      </c>
      <c r="C33" s="3">
        <v>60</v>
      </c>
      <c r="D33" s="112">
        <v>766.94</v>
      </c>
      <c r="E33" s="112">
        <f>C33*D33</f>
        <v>46016.4</v>
      </c>
      <c r="F33" s="12" t="s">
        <v>53</v>
      </c>
      <c r="G33" s="93"/>
      <c r="H33" s="25"/>
    </row>
    <row r="34" spans="1:10" ht="34.5" thickBot="1" x14ac:dyDescent="0.3">
      <c r="A34" s="1" t="s">
        <v>192</v>
      </c>
      <c r="B34" s="3" t="s">
        <v>177</v>
      </c>
      <c r="C34" s="3">
        <v>120</v>
      </c>
      <c r="D34" s="112">
        <v>204.52</v>
      </c>
      <c r="E34" s="112">
        <f t="shared" ref="E34:E36" si="1">C34*D34</f>
        <v>24542.400000000001</v>
      </c>
      <c r="F34" s="12" t="s">
        <v>53</v>
      </c>
      <c r="G34" s="93"/>
      <c r="H34" s="25"/>
    </row>
    <row r="35" spans="1:10" ht="45.75" thickBot="1" x14ac:dyDescent="0.3">
      <c r="A35" s="1" t="s">
        <v>193</v>
      </c>
      <c r="B35" s="3" t="s">
        <v>177</v>
      </c>
      <c r="C35" s="3">
        <v>60</v>
      </c>
      <c r="D35" s="112">
        <v>76.69</v>
      </c>
      <c r="E35" s="112">
        <f t="shared" si="1"/>
        <v>4601.3999999999996</v>
      </c>
      <c r="F35" s="12" t="s">
        <v>53</v>
      </c>
      <c r="G35" s="93"/>
      <c r="H35" s="25" t="str">
        <f>IF(F35=0," ",VLOOKUP(F35,[10]Sheet1!$A$1:$B$8,2,FALSE))</f>
        <v xml:space="preserve">Refer to a document confirming that the PO determined the equipment as integral and necessary for achieving the outcomes of the PDP. </v>
      </c>
    </row>
    <row r="36" spans="1:10" ht="45.75" thickBot="1" x14ac:dyDescent="0.3">
      <c r="A36" s="1" t="s">
        <v>194</v>
      </c>
      <c r="B36" s="3" t="s">
        <v>177</v>
      </c>
      <c r="C36" s="3">
        <v>30</v>
      </c>
      <c r="D36" s="112">
        <v>1227.0999999999999</v>
      </c>
      <c r="E36" s="112">
        <f t="shared" si="1"/>
        <v>36813</v>
      </c>
      <c r="F36" s="12" t="s">
        <v>53</v>
      </c>
      <c r="G36" s="93"/>
      <c r="H36" s="25" t="str">
        <f>IF(F36=0," ",VLOOKUP(F36,[10]Sheet1!$A$1:$B$8,2,FALSE))</f>
        <v xml:space="preserve">Refer to a document confirming that the PO determined the equipment as integral and necessary for achieving the outcomes of the PDP. </v>
      </c>
    </row>
    <row r="37" spans="1:10" ht="15.75" thickBot="1" x14ac:dyDescent="0.3">
      <c r="A37" s="517" t="s">
        <v>6</v>
      </c>
      <c r="B37" s="518"/>
      <c r="C37" s="518"/>
      <c r="D37" s="523"/>
      <c r="E37" s="113">
        <f>SUM(E33:E36)</f>
        <v>111973.2</v>
      </c>
      <c r="G37" s="93"/>
      <c r="H37" s="12"/>
    </row>
    <row r="38" spans="1:10" ht="15.75" thickBot="1" x14ac:dyDescent="0.3">
      <c r="A38" s="542" t="s">
        <v>195</v>
      </c>
      <c r="B38" s="543"/>
      <c r="C38" s="543"/>
      <c r="D38" s="543"/>
      <c r="E38" s="543"/>
      <c r="F38" s="542"/>
      <c r="G38" s="543"/>
      <c r="H38" s="543" t="str">
        <f>IF(F38=0," ",VLOOKUP(F38,[10]Sheet1!$A$1:$B$8,2,FALSE))</f>
        <v xml:space="preserve"> </v>
      </c>
    </row>
    <row r="39" spans="1:10" ht="57" thickBot="1" x14ac:dyDescent="0.3">
      <c r="A39" s="1" t="s">
        <v>196</v>
      </c>
      <c r="B39" s="3" t="s">
        <v>177</v>
      </c>
      <c r="C39" s="305">
        <v>860</v>
      </c>
      <c r="D39" s="306">
        <v>89.21</v>
      </c>
      <c r="E39" s="307">
        <f>C39*D39</f>
        <v>76720.599999999991</v>
      </c>
      <c r="F39" s="12" t="s">
        <v>57</v>
      </c>
      <c r="G39" s="93"/>
      <c r="H39" s="25" t="str">
        <f>IF(F39=0," ",VLOOKUP(F39,[10]Sheet1!$A$1:$B$8,2,FALSE))</f>
        <v>Include a reference to the relevant article of the project contract.
Examples of costs: information/publicity, translations, specific evaluation, audits, charges for financial transactions, etc.</v>
      </c>
    </row>
    <row r="40" spans="1:10" ht="57" thickBot="1" x14ac:dyDescent="0.3">
      <c r="A40" s="1" t="s">
        <v>197</v>
      </c>
      <c r="B40" s="92"/>
      <c r="C40" s="305"/>
      <c r="D40" s="306"/>
      <c r="E40" s="307">
        <v>10735.82</v>
      </c>
      <c r="F40" s="12" t="s">
        <v>57</v>
      </c>
      <c r="G40" s="93"/>
      <c r="H40" s="104"/>
    </row>
    <row r="41" spans="1:10" ht="15.75" thickBot="1" x14ac:dyDescent="0.3">
      <c r="A41" s="517" t="s">
        <v>123</v>
      </c>
      <c r="B41" s="518"/>
      <c r="C41" s="518"/>
      <c r="D41" s="519"/>
      <c r="E41" s="113">
        <f>SUM(E39:E40)</f>
        <v>87456.419999999984</v>
      </c>
      <c r="F41" s="93"/>
      <c r="G41" s="93"/>
      <c r="H41" s="38"/>
    </row>
    <row r="42" spans="1:10" ht="15.75" thickBot="1" x14ac:dyDescent="0.3">
      <c r="A42" s="526" t="s">
        <v>11</v>
      </c>
      <c r="B42" s="527"/>
      <c r="C42" s="527"/>
      <c r="D42" s="528"/>
      <c r="E42" s="53">
        <f>SUM(E15,E27,E31,E37,E41)</f>
        <v>271028</v>
      </c>
      <c r="F42" s="100"/>
      <c r="G42" s="101"/>
      <c r="H42" s="39"/>
    </row>
    <row r="43" spans="1:10" ht="23.25" thickBot="1" x14ac:dyDescent="0.3">
      <c r="A43" s="99" t="s">
        <v>12</v>
      </c>
      <c r="B43" s="100"/>
      <c r="C43" s="100"/>
      <c r="D43" s="100"/>
      <c r="E43" s="117"/>
      <c r="F43" s="93"/>
      <c r="G43" s="93"/>
      <c r="H43" s="40" t="s">
        <v>40</v>
      </c>
    </row>
    <row r="44" spans="1:10" ht="23.25" thickBot="1" x14ac:dyDescent="0.3">
      <c r="A44" s="526" t="s">
        <v>13</v>
      </c>
      <c r="B44" s="527"/>
      <c r="C44" s="527"/>
      <c r="D44" s="528"/>
      <c r="E44" s="53">
        <f>ROUND(E42*0.07,0)</f>
        <v>18972</v>
      </c>
      <c r="F44" s="93"/>
      <c r="G44" s="90" t="s">
        <v>517</v>
      </c>
      <c r="H44" s="41"/>
      <c r="J44" s="283">
        <f>E44/E42</f>
        <v>7.000014758622726E-2</v>
      </c>
    </row>
    <row r="45" spans="1:10" ht="15.75" thickBot="1" x14ac:dyDescent="0.3">
      <c r="A45" s="529" t="s">
        <v>22</v>
      </c>
      <c r="B45" s="530"/>
      <c r="C45" s="530"/>
      <c r="D45" s="531"/>
      <c r="E45" s="53">
        <f>SUM(E44,E42)</f>
        <v>290000</v>
      </c>
      <c r="F45" s="15"/>
      <c r="G45" s="15"/>
      <c r="H45" s="29"/>
    </row>
    <row r="46" spans="1:10" ht="15.75" thickBot="1" x14ac:dyDescent="0.3">
      <c r="A46" s="15"/>
      <c r="B46" s="15"/>
      <c r="C46" s="15"/>
      <c r="D46" s="15"/>
      <c r="E46" s="109"/>
      <c r="F46" s="15"/>
      <c r="G46" s="15"/>
      <c r="H46" s="29"/>
    </row>
    <row r="47" spans="1:10" ht="15.75" thickBot="1" x14ac:dyDescent="0.3">
      <c r="A47" s="486" t="s">
        <v>19</v>
      </c>
      <c r="B47" s="486"/>
      <c r="C47" s="486"/>
      <c r="D47" s="486"/>
      <c r="E47" s="119">
        <f>E15</f>
        <v>2249.6799999999998</v>
      </c>
      <c r="F47" s="15"/>
      <c r="G47" s="15"/>
      <c r="H47" s="29"/>
    </row>
    <row r="48" spans="1:10" ht="15.75" thickBot="1" x14ac:dyDescent="0.3">
      <c r="A48" s="486" t="s">
        <v>20</v>
      </c>
      <c r="B48" s="486"/>
      <c r="C48" s="486"/>
      <c r="D48" s="486"/>
      <c r="E48" s="118">
        <f>SUM(E45-E47)</f>
        <v>287750.32</v>
      </c>
      <c r="F48" s="15"/>
      <c r="G48" s="109"/>
      <c r="H48" s="29"/>
    </row>
    <row r="49" spans="1:8" x14ac:dyDescent="0.25">
      <c r="A49" s="120"/>
      <c r="B49" s="120"/>
      <c r="C49" s="120"/>
      <c r="D49" s="120"/>
      <c r="E49" s="121"/>
      <c r="F49" s="15"/>
      <c r="G49" s="15"/>
      <c r="H49" s="29"/>
    </row>
    <row r="50" spans="1:8" x14ac:dyDescent="0.25">
      <c r="A50" s="15"/>
      <c r="B50" s="15"/>
      <c r="C50" s="15"/>
      <c r="D50" s="15"/>
      <c r="E50" s="109"/>
      <c r="F50" s="15"/>
      <c r="G50" s="15"/>
      <c r="H50" s="29"/>
    </row>
    <row r="51" spans="1:8" ht="15.75" thickBot="1" x14ac:dyDescent="0.3">
      <c r="A51" s="15"/>
      <c r="B51" s="15"/>
      <c r="C51" s="15"/>
      <c r="D51" s="15"/>
      <c r="E51" s="109"/>
      <c r="F51" s="15"/>
      <c r="G51" s="15"/>
      <c r="H51" s="29"/>
    </row>
    <row r="52" spans="1:8" ht="23.25" thickBot="1" x14ac:dyDescent="0.3">
      <c r="A52" s="21" t="s">
        <v>35</v>
      </c>
      <c r="B52" s="19" t="s">
        <v>27</v>
      </c>
      <c r="C52" s="19" t="s">
        <v>198</v>
      </c>
      <c r="D52" s="19" t="s">
        <v>199</v>
      </c>
      <c r="E52" s="122" t="s">
        <v>200</v>
      </c>
      <c r="F52" s="19" t="s">
        <v>201</v>
      </c>
      <c r="G52" s="19" t="s">
        <v>25</v>
      </c>
      <c r="H52" s="42" t="s">
        <v>26</v>
      </c>
    </row>
    <row r="53" spans="1:8" ht="15.75" thickBot="1" x14ac:dyDescent="0.3">
      <c r="A53" s="79" t="s">
        <v>50</v>
      </c>
      <c r="B53" s="274">
        <v>2249.6799999999998</v>
      </c>
      <c r="C53" s="284">
        <v>0</v>
      </c>
      <c r="D53" s="276">
        <v>0</v>
      </c>
      <c r="E53" s="285">
        <v>0</v>
      </c>
      <c r="F53" s="248">
        <v>0</v>
      </c>
      <c r="G53" s="290">
        <f>(B53+C53+D53+F53)</f>
        <v>2249.6799999999998</v>
      </c>
      <c r="H53" s="41">
        <f>(G53*100)/G62</f>
        <v>0.77575172413793092</v>
      </c>
    </row>
    <row r="54" spans="1:8" ht="23.25" thickBot="1" x14ac:dyDescent="0.3">
      <c r="A54" s="79" t="s">
        <v>51</v>
      </c>
      <c r="B54" s="274">
        <v>0</v>
      </c>
      <c r="C54" s="284">
        <v>0</v>
      </c>
      <c r="D54" s="276">
        <v>0</v>
      </c>
      <c r="E54" s="285">
        <v>0</v>
      </c>
      <c r="F54" s="248">
        <v>0</v>
      </c>
      <c r="G54" s="12">
        <f t="shared" ref="G54:G60" si="2">(B54+C54+D54+E54+F54)</f>
        <v>0</v>
      </c>
      <c r="H54" s="41">
        <f>(G54*100)/G62</f>
        <v>0</v>
      </c>
    </row>
    <row r="55" spans="1:8" ht="23.25" thickBot="1" x14ac:dyDescent="0.3">
      <c r="A55" s="79" t="s">
        <v>52</v>
      </c>
      <c r="B55" s="274">
        <v>0</v>
      </c>
      <c r="C55" s="284">
        <v>0</v>
      </c>
      <c r="D55" s="276">
        <v>0</v>
      </c>
      <c r="E55" s="285">
        <v>0</v>
      </c>
      <c r="F55" s="248">
        <v>0</v>
      </c>
      <c r="G55" s="12">
        <f t="shared" si="2"/>
        <v>0</v>
      </c>
      <c r="H55" s="41">
        <f>(G55*100)/G62</f>
        <v>0</v>
      </c>
    </row>
    <row r="56" spans="1:8" ht="23.25" thickBot="1" x14ac:dyDescent="0.3">
      <c r="A56" s="79" t="s">
        <v>53</v>
      </c>
      <c r="B56" s="274">
        <v>0</v>
      </c>
      <c r="C56" s="284">
        <f>E27</f>
        <v>24866.310000000005</v>
      </c>
      <c r="D56" s="276">
        <v>0</v>
      </c>
      <c r="E56" s="285">
        <f>E37</f>
        <v>111973.2</v>
      </c>
      <c r="F56" s="248">
        <v>0</v>
      </c>
      <c r="G56" s="290">
        <f t="shared" si="2"/>
        <v>136839.51</v>
      </c>
      <c r="H56" s="41">
        <f>(G56*100)/G62</f>
        <v>47.186037931034484</v>
      </c>
    </row>
    <row r="57" spans="1:8" ht="23.25" thickBot="1" x14ac:dyDescent="0.3">
      <c r="A57" s="79" t="s">
        <v>54</v>
      </c>
      <c r="B57" s="274">
        <v>0</v>
      </c>
      <c r="C57" s="284">
        <v>0</v>
      </c>
      <c r="D57" s="276">
        <v>0</v>
      </c>
      <c r="E57" s="285">
        <v>0</v>
      </c>
      <c r="F57" s="248">
        <v>0</v>
      </c>
      <c r="G57" s="12">
        <f t="shared" si="2"/>
        <v>0</v>
      </c>
      <c r="H57" s="41">
        <f>(G57*100)/G62</f>
        <v>0</v>
      </c>
    </row>
    <row r="58" spans="1:8" ht="15.75" thickBot="1" x14ac:dyDescent="0.3">
      <c r="A58" s="79" t="s">
        <v>55</v>
      </c>
      <c r="B58" s="274">
        <v>0</v>
      </c>
      <c r="C58" s="284">
        <v>0</v>
      </c>
      <c r="D58" s="276">
        <v>0</v>
      </c>
      <c r="E58" s="285">
        <v>0</v>
      </c>
      <c r="F58" s="248">
        <v>0</v>
      </c>
      <c r="G58" s="12">
        <f t="shared" si="2"/>
        <v>0</v>
      </c>
      <c r="H58" s="41">
        <f>(G58*100)/G62</f>
        <v>0</v>
      </c>
    </row>
    <row r="59" spans="1:8" ht="23.25" thickBot="1" x14ac:dyDescent="0.3">
      <c r="A59" s="79" t="s">
        <v>56</v>
      </c>
      <c r="B59" s="274">
        <v>0</v>
      </c>
      <c r="C59" s="284">
        <v>0</v>
      </c>
      <c r="D59" s="276">
        <v>0</v>
      </c>
      <c r="E59" s="285">
        <v>0</v>
      </c>
      <c r="F59" s="248">
        <v>0</v>
      </c>
      <c r="G59" s="12">
        <f t="shared" si="2"/>
        <v>0</v>
      </c>
      <c r="H59" s="107">
        <f>(G59*100)/G62</f>
        <v>0</v>
      </c>
    </row>
    <row r="60" spans="1:8" ht="23.25" thickBot="1" x14ac:dyDescent="0.3">
      <c r="A60" s="79" t="s">
        <v>57</v>
      </c>
      <c r="B60" s="274">
        <v>0</v>
      </c>
      <c r="C60" s="284">
        <v>0</v>
      </c>
      <c r="D60" s="276">
        <f>E31</f>
        <v>44482.39</v>
      </c>
      <c r="E60" s="285">
        <v>0</v>
      </c>
      <c r="F60" s="248">
        <f>E41</f>
        <v>87456.419999999984</v>
      </c>
      <c r="G60" s="290">
        <f t="shared" si="2"/>
        <v>131938.81</v>
      </c>
      <c r="H60" s="107">
        <f>(G60*100)/G62</f>
        <v>45.496141379310345</v>
      </c>
    </row>
    <row r="61" spans="1:8" ht="15.75" thickBot="1" x14ac:dyDescent="0.3">
      <c r="A61" s="79" t="s">
        <v>32</v>
      </c>
      <c r="B61" s="286">
        <f>ROUND(SUM(B53+B54+B55+B56+B57+B58+B59+B60)*0.07,0)</f>
        <v>157</v>
      </c>
      <c r="C61" s="287">
        <f>ROUND(SUM(C53+C54+C55+C56+C57+C58+C59+C60)*0.07,0)</f>
        <v>1741</v>
      </c>
      <c r="D61" s="288">
        <f>ROUND(SUM(D53+D54+D55+D56+D57+D58+D59+D60)*0.07,0)</f>
        <v>3114</v>
      </c>
      <c r="E61" s="285">
        <f>ROUND(SUM(E53+E54+E55+E56+E57+E58+E59+E60)*0.07,0)</f>
        <v>7838</v>
      </c>
      <c r="F61" s="285">
        <f>ROUND(SUM(F53+F54+F55+F56+F57+F58+F59+F60)*0.07,0)</f>
        <v>6122</v>
      </c>
      <c r="G61" s="127">
        <f>(C61+D61+E61+F61+B61)</f>
        <v>18972</v>
      </c>
      <c r="H61" s="107">
        <f>(G61*100)/G62</f>
        <v>6.5420689655172417</v>
      </c>
    </row>
    <row r="62" spans="1:8" ht="15.75" thickBot="1" x14ac:dyDescent="0.3">
      <c r="A62" s="19" t="s">
        <v>33</v>
      </c>
      <c r="B62" s="124">
        <f>(B53+B54+B55+B56+B57+B58+B59+B60+B61)</f>
        <v>2406.6799999999998</v>
      </c>
      <c r="C62" s="125">
        <f>(C53+C54+C55+C56+C57+C58+C59+C60+C61)</f>
        <v>26607.310000000005</v>
      </c>
      <c r="D62" s="126">
        <f>(D53+D54+D55+D56+D57+D58+D59+D60+D61)</f>
        <v>47596.39</v>
      </c>
      <c r="E62" s="112">
        <f>(E53+E54+E55+E56+E57+E58+E59+E60+E61)</f>
        <v>119811.2</v>
      </c>
      <c r="F62" s="112">
        <f>(F53+F54+F55+F56+F57+F58+F59+F60+F61)</f>
        <v>93578.419999999984</v>
      </c>
      <c r="G62" s="290">
        <f>B62+C62+D62+E62+F62</f>
        <v>290000</v>
      </c>
      <c r="H62" s="43"/>
    </row>
    <row r="63" spans="1:8" ht="15.75" thickBot="1" x14ac:dyDescent="0.3">
      <c r="A63" s="19" t="s">
        <v>34</v>
      </c>
      <c r="B63" s="124">
        <f>(B62*100)/290000</f>
        <v>0.82988965517241364</v>
      </c>
      <c r="C63" s="125">
        <f>(C62*100)/290000</f>
        <v>9.1749344827586228</v>
      </c>
      <c r="D63" s="126">
        <f>(D62*100)/290000</f>
        <v>16.412548275862068</v>
      </c>
      <c r="E63" s="112">
        <f>(E62*100)/290000</f>
        <v>41.314206896551724</v>
      </c>
      <c r="F63" s="112">
        <f>(F62*100)/290000</f>
        <v>32.268420689655166</v>
      </c>
      <c r="G63" s="127">
        <f>(B63+C63+D63+E63+F63)</f>
        <v>100</v>
      </c>
      <c r="H63" s="43"/>
    </row>
    <row r="65" spans="1:10" x14ac:dyDescent="0.25">
      <c r="B65" s="283"/>
      <c r="C65" s="283"/>
      <c r="D65" s="283"/>
      <c r="E65" s="283"/>
      <c r="F65" s="283"/>
    </row>
    <row r="67" spans="1:10" x14ac:dyDescent="0.25">
      <c r="A67" s="292" t="s">
        <v>538</v>
      </c>
      <c r="B67" s="294">
        <f>(G53+G60)</f>
        <v>134188.49</v>
      </c>
      <c r="D67" s="289"/>
      <c r="E67" s="283"/>
      <c r="J67" s="291"/>
    </row>
    <row r="68" spans="1:10" x14ac:dyDescent="0.25">
      <c r="A68" s="292" t="s">
        <v>539</v>
      </c>
      <c r="B68" s="294">
        <f>ROUND(B67*7%,2)</f>
        <v>9393.19</v>
      </c>
      <c r="D68" s="289"/>
      <c r="E68" s="283"/>
    </row>
    <row r="69" spans="1:10" x14ac:dyDescent="0.25">
      <c r="A69" s="293" t="s">
        <v>34</v>
      </c>
      <c r="B69" s="295">
        <f>(B67+B68)/E45</f>
        <v>0.49510924137931034</v>
      </c>
    </row>
    <row r="70" spans="1:10" x14ac:dyDescent="0.25">
      <c r="D70" s="289"/>
      <c r="E70" s="283"/>
    </row>
  </sheetData>
  <mergeCells count="22">
    <mergeCell ref="B8:G8"/>
    <mergeCell ref="B3:G3"/>
    <mergeCell ref="B4:G4"/>
    <mergeCell ref="B5:G5"/>
    <mergeCell ref="B6:G6"/>
    <mergeCell ref="B7:G7"/>
    <mergeCell ref="F38:H38"/>
    <mergeCell ref="A41:D41"/>
    <mergeCell ref="A42:D42"/>
    <mergeCell ref="A11:G11"/>
    <mergeCell ref="A12:G12"/>
    <mergeCell ref="A15:D15"/>
    <mergeCell ref="A16:G16"/>
    <mergeCell ref="A27:D27"/>
    <mergeCell ref="A28:G28"/>
    <mergeCell ref="A44:D44"/>
    <mergeCell ref="A45:D45"/>
    <mergeCell ref="A47:D47"/>
    <mergeCell ref="A48:D48"/>
    <mergeCell ref="A31:D31"/>
    <mergeCell ref="A37:D37"/>
    <mergeCell ref="A38:E38"/>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[10]Sheet1!#REF!</xm:f>
          </x14:formula1>
          <xm:sqref>F38:F40 F17:F27 F29:F30 F32:F36 F13:F15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topLeftCell="A58" zoomScale="90" zoomScaleNormal="90" workbookViewId="0">
      <selection activeCell="B91" sqref="B91"/>
    </sheetView>
  </sheetViews>
  <sheetFormatPr defaultRowHeight="15" x14ac:dyDescent="0.25"/>
  <cols>
    <col min="1" max="1" width="41" customWidth="1"/>
    <col min="2" max="2" width="13" customWidth="1"/>
    <col min="3" max="3" width="12.85546875" customWidth="1"/>
    <col min="4" max="4" width="13.5703125" customWidth="1"/>
    <col min="5" max="5" width="13.28515625" customWidth="1"/>
    <col min="6" max="6" width="17.85546875" customWidth="1"/>
    <col min="7" max="7" width="35.42578125" customWidth="1"/>
    <col min="8" max="8" width="33.140625" customWidth="1"/>
  </cols>
  <sheetData>
    <row r="1" spans="1:8" x14ac:dyDescent="0.25">
      <c r="A1" s="13" t="s">
        <v>17</v>
      </c>
      <c r="B1" s="14"/>
      <c r="C1" s="14"/>
      <c r="D1" s="15"/>
      <c r="E1" s="15"/>
      <c r="F1" s="15"/>
      <c r="G1" s="15"/>
      <c r="H1" s="128"/>
    </row>
    <row r="2" spans="1:8" ht="15.75" thickBot="1" x14ac:dyDescent="0.3">
      <c r="A2" s="15"/>
      <c r="B2" s="15"/>
      <c r="C2" s="15"/>
      <c r="D2" s="15"/>
      <c r="E2" s="15"/>
      <c r="F2" s="15"/>
      <c r="G2" s="15"/>
      <c r="H2" s="128"/>
    </row>
    <row r="3" spans="1:8" ht="15.75" thickBot="1" x14ac:dyDescent="0.3">
      <c r="A3" s="129" t="s">
        <v>7</v>
      </c>
      <c r="B3" s="551" t="s">
        <v>679</v>
      </c>
      <c r="C3" s="552"/>
      <c r="D3" s="552"/>
      <c r="E3" s="552"/>
      <c r="F3" s="552"/>
      <c r="G3" s="553"/>
      <c r="H3" s="30"/>
    </row>
    <row r="4" spans="1:8" ht="15.75" thickBot="1" x14ac:dyDescent="0.3">
      <c r="A4" s="130" t="s">
        <v>15</v>
      </c>
      <c r="B4" s="554" t="s">
        <v>680</v>
      </c>
      <c r="C4" s="555"/>
      <c r="D4" s="555"/>
      <c r="E4" s="555"/>
      <c r="F4" s="555"/>
      <c r="G4" s="556"/>
      <c r="H4" s="30"/>
    </row>
    <row r="5" spans="1:8" ht="15.75" thickBot="1" x14ac:dyDescent="0.3">
      <c r="A5" s="130" t="s">
        <v>8</v>
      </c>
      <c r="B5" s="551" t="s">
        <v>202</v>
      </c>
      <c r="C5" s="552"/>
      <c r="D5" s="552"/>
      <c r="E5" s="552"/>
      <c r="F5" s="552"/>
      <c r="G5" s="553"/>
      <c r="H5" s="30"/>
    </row>
    <row r="6" spans="1:8" ht="15.75" thickBot="1" x14ac:dyDescent="0.3">
      <c r="A6" s="130" t="s">
        <v>16</v>
      </c>
      <c r="B6" s="557">
        <v>3680000</v>
      </c>
      <c r="C6" s="558"/>
      <c r="D6" s="558"/>
      <c r="E6" s="558"/>
      <c r="F6" s="558"/>
      <c r="G6" s="559"/>
      <c r="H6" s="31"/>
    </row>
    <row r="7" spans="1:8" ht="15.75" thickBot="1" x14ac:dyDescent="0.3">
      <c r="A7" s="130" t="s">
        <v>2</v>
      </c>
      <c r="B7" s="560">
        <v>1</v>
      </c>
      <c r="C7" s="548"/>
      <c r="D7" s="548"/>
      <c r="E7" s="548"/>
      <c r="F7" s="548"/>
      <c r="G7" s="549"/>
      <c r="H7" s="32"/>
    </row>
    <row r="8" spans="1:8" ht="15.75" thickBot="1" x14ac:dyDescent="0.3">
      <c r="A8" s="130" t="s">
        <v>9</v>
      </c>
      <c r="B8" s="547" t="s">
        <v>203</v>
      </c>
      <c r="C8" s="548"/>
      <c r="D8" s="548"/>
      <c r="E8" s="548"/>
      <c r="F8" s="548"/>
      <c r="G8" s="549"/>
      <c r="H8" s="32"/>
    </row>
    <row r="9" spans="1:8" ht="15.75" thickBot="1" x14ac:dyDescent="0.3">
      <c r="A9" s="23"/>
      <c r="B9" s="24"/>
      <c r="C9" s="22"/>
      <c r="D9" s="22"/>
      <c r="E9" s="22"/>
      <c r="F9" s="22"/>
      <c r="G9" s="22"/>
      <c r="H9" s="33"/>
    </row>
    <row r="10" spans="1:8" ht="23.25" thickBot="1" x14ac:dyDescent="0.3">
      <c r="A10" s="28"/>
      <c r="B10" s="26" t="s">
        <v>0</v>
      </c>
      <c r="C10" s="26" t="s">
        <v>14</v>
      </c>
      <c r="D10" s="26" t="s">
        <v>23</v>
      </c>
      <c r="E10" s="26" t="s">
        <v>18</v>
      </c>
      <c r="F10" s="26" t="s">
        <v>10</v>
      </c>
      <c r="G10" s="27" t="s">
        <v>1</v>
      </c>
      <c r="H10" s="34" t="s">
        <v>36</v>
      </c>
    </row>
    <row r="11" spans="1:8" ht="15.75" thickBot="1" x14ac:dyDescent="0.3">
      <c r="A11" s="511" t="s">
        <v>204</v>
      </c>
      <c r="B11" s="512"/>
      <c r="C11" s="512"/>
      <c r="D11" s="512"/>
      <c r="E11" s="512"/>
      <c r="F11" s="512"/>
      <c r="G11" s="513"/>
      <c r="H11" s="35"/>
    </row>
    <row r="12" spans="1:8" ht="15.75" thickBot="1" x14ac:dyDescent="0.3">
      <c r="A12" s="514" t="s">
        <v>24</v>
      </c>
      <c r="B12" s="515"/>
      <c r="C12" s="515"/>
      <c r="D12" s="515"/>
      <c r="E12" s="515"/>
      <c r="F12" s="515"/>
      <c r="G12" s="516"/>
      <c r="H12" s="36"/>
    </row>
    <row r="13" spans="1:8" ht="34.5" thickBot="1" x14ac:dyDescent="0.3">
      <c r="A13" s="131" t="s">
        <v>205</v>
      </c>
      <c r="B13" s="132" t="s">
        <v>66</v>
      </c>
      <c r="C13" s="133">
        <v>1500</v>
      </c>
      <c r="D13" s="134">
        <v>10</v>
      </c>
      <c r="E13" s="134">
        <f>C13*D13</f>
        <v>15000</v>
      </c>
      <c r="F13" s="12" t="s">
        <v>50</v>
      </c>
      <c r="G13" s="5"/>
      <c r="H13" s="25">
        <f>IF(F13=0,"  ",VLOOKUP(F13,[11]Sheet1!$A$1:$B$8,2,FALSE))</f>
        <v>0</v>
      </c>
    </row>
    <row r="14" spans="1:8" ht="34.5" thickBot="1" x14ac:dyDescent="0.3">
      <c r="A14" s="131" t="s">
        <v>206</v>
      </c>
      <c r="B14" s="132" t="s">
        <v>66</v>
      </c>
      <c r="C14" s="133">
        <v>1500</v>
      </c>
      <c r="D14" s="134">
        <v>10</v>
      </c>
      <c r="E14" s="134">
        <f>C14*D14</f>
        <v>15000</v>
      </c>
      <c r="F14" s="12" t="s">
        <v>50</v>
      </c>
      <c r="G14" s="5"/>
      <c r="H14" s="25"/>
    </row>
    <row r="15" spans="1:8" ht="34.5" thickBot="1" x14ac:dyDescent="0.3">
      <c r="A15" s="131" t="s">
        <v>207</v>
      </c>
      <c r="B15" s="132" t="s">
        <v>66</v>
      </c>
      <c r="C15" s="133">
        <v>1500</v>
      </c>
      <c r="D15" s="134">
        <v>10</v>
      </c>
      <c r="E15" s="134">
        <f>C15*D15</f>
        <v>15000</v>
      </c>
      <c r="F15" s="12" t="s">
        <v>50</v>
      </c>
      <c r="G15" s="5"/>
      <c r="H15" s="25"/>
    </row>
    <row r="16" spans="1:8" ht="34.5" thickBot="1" x14ac:dyDescent="0.3">
      <c r="A16" s="131" t="s">
        <v>208</v>
      </c>
      <c r="B16" s="132" t="s">
        <v>66</v>
      </c>
      <c r="C16" s="133">
        <v>1500</v>
      </c>
      <c r="D16" s="134">
        <v>10</v>
      </c>
      <c r="E16" s="134">
        <f>C16*D16</f>
        <v>15000</v>
      </c>
      <c r="F16" s="12" t="s">
        <v>50</v>
      </c>
      <c r="G16" s="5"/>
      <c r="H16" s="25"/>
    </row>
    <row r="17" spans="1:8" ht="34.5" thickBot="1" x14ac:dyDescent="0.3">
      <c r="A17" s="131" t="s">
        <v>209</v>
      </c>
      <c r="B17" s="132" t="s">
        <v>66</v>
      </c>
      <c r="C17" s="133">
        <v>1500</v>
      </c>
      <c r="D17" s="134">
        <v>10</v>
      </c>
      <c r="E17" s="134">
        <f>C17*D17</f>
        <v>15000</v>
      </c>
      <c r="F17" s="12" t="s">
        <v>50</v>
      </c>
      <c r="G17" s="5"/>
      <c r="H17" s="25">
        <f>IF(F17=0," ",VLOOKUP(F17,[11]Sheet1!$A$1:$B$8,2,FALSE))</f>
        <v>0</v>
      </c>
    </row>
    <row r="18" spans="1:8" ht="16.5" thickBot="1" x14ac:dyDescent="0.3">
      <c r="A18" s="544" t="s">
        <v>3</v>
      </c>
      <c r="B18" s="545"/>
      <c r="C18" s="545"/>
      <c r="D18" s="550"/>
      <c r="E18" s="135">
        <f>SUM(E13:E17)</f>
        <v>75000</v>
      </c>
      <c r="F18" s="12"/>
      <c r="G18" s="87"/>
      <c r="H18" s="25" t="str">
        <f>IF(F18=0," ",VLOOKUP(F18,[11]Sheet1!$A$1:$B$8,2,FALSE))</f>
        <v xml:space="preserve"> </v>
      </c>
    </row>
    <row r="19" spans="1:8" ht="15.75" thickBot="1" x14ac:dyDescent="0.3">
      <c r="A19" s="520" t="s">
        <v>210</v>
      </c>
      <c r="B19" s="521"/>
      <c r="C19" s="521"/>
      <c r="D19" s="521"/>
      <c r="E19" s="521"/>
      <c r="F19" s="521"/>
      <c r="G19" s="522"/>
      <c r="H19" s="37"/>
    </row>
    <row r="20" spans="1:8" ht="63.75" thickBot="1" x14ac:dyDescent="0.3">
      <c r="A20" s="136" t="s">
        <v>681</v>
      </c>
      <c r="B20" s="137" t="s">
        <v>211</v>
      </c>
      <c r="C20" s="137">
        <v>10</v>
      </c>
      <c r="D20" s="134">
        <v>100000</v>
      </c>
      <c r="E20" s="134">
        <f t="shared" ref="E20:E46" si="0">C20*D20</f>
        <v>1000000</v>
      </c>
      <c r="F20" s="12" t="s">
        <v>56</v>
      </c>
      <c r="G20" s="93"/>
      <c r="H20" s="25" t="str">
        <f>IF(F20=0," ",VLOOKUP(F20,[11]Sheet1!$A$1:$B$8,2,FALSE))</f>
        <v>Awarding should comply with the applicable rules on public procurement  (Regulations Art. 8.15).</v>
      </c>
    </row>
    <row r="21" spans="1:8" ht="48" thickBot="1" x14ac:dyDescent="0.3">
      <c r="A21" s="136" t="s">
        <v>682</v>
      </c>
      <c r="B21" s="138" t="s">
        <v>212</v>
      </c>
      <c r="C21" s="139">
        <v>1160</v>
      </c>
      <c r="D21" s="140">
        <v>22</v>
      </c>
      <c r="E21" s="140">
        <f t="shared" si="0"/>
        <v>25520</v>
      </c>
      <c r="F21" s="12" t="s">
        <v>51</v>
      </c>
      <c r="G21" s="93"/>
      <c r="H21" s="25"/>
    </row>
    <row r="22" spans="1:8" ht="48" thickBot="1" x14ac:dyDescent="0.3">
      <c r="A22" s="136" t="s">
        <v>683</v>
      </c>
      <c r="B22" s="138" t="s">
        <v>212</v>
      </c>
      <c r="C22" s="139">
        <v>928</v>
      </c>
      <c r="D22" s="140">
        <v>22</v>
      </c>
      <c r="E22" s="140">
        <f t="shared" si="0"/>
        <v>20416</v>
      </c>
      <c r="F22" s="12" t="s">
        <v>51</v>
      </c>
      <c r="G22" s="93"/>
      <c r="H22" s="25"/>
    </row>
    <row r="23" spans="1:8" ht="57" thickBot="1" x14ac:dyDescent="0.3">
      <c r="A23" s="136" t="s">
        <v>684</v>
      </c>
      <c r="B23" s="141" t="s">
        <v>212</v>
      </c>
      <c r="C23" s="139">
        <v>112</v>
      </c>
      <c r="D23" s="140">
        <v>60</v>
      </c>
      <c r="E23" s="140">
        <f t="shared" si="0"/>
        <v>6720</v>
      </c>
      <c r="F23" s="389" t="s">
        <v>57</v>
      </c>
      <c r="G23" s="93"/>
      <c r="H23" s="25"/>
    </row>
    <row r="24" spans="1:8" ht="48" thickBot="1" x14ac:dyDescent="0.3">
      <c r="A24" s="136" t="s">
        <v>213</v>
      </c>
      <c r="B24" s="138" t="s">
        <v>214</v>
      </c>
      <c r="C24" s="139">
        <v>232</v>
      </c>
      <c r="D24" s="140">
        <v>40</v>
      </c>
      <c r="E24" s="140">
        <f t="shared" si="0"/>
        <v>9280</v>
      </c>
      <c r="F24" s="12" t="s">
        <v>51</v>
      </c>
      <c r="G24" s="93"/>
      <c r="H24" s="25"/>
    </row>
    <row r="25" spans="1:8" ht="57" thickBot="1" x14ac:dyDescent="0.3">
      <c r="A25" s="136" t="s">
        <v>685</v>
      </c>
      <c r="B25" s="138" t="s">
        <v>212</v>
      </c>
      <c r="C25" s="139">
        <v>20</v>
      </c>
      <c r="D25" s="140">
        <v>500</v>
      </c>
      <c r="E25" s="140">
        <f t="shared" si="0"/>
        <v>10000</v>
      </c>
      <c r="F25" s="12" t="s">
        <v>56</v>
      </c>
      <c r="G25" s="93"/>
      <c r="H25" s="25"/>
    </row>
    <row r="26" spans="1:8" ht="57" thickBot="1" x14ac:dyDescent="0.3">
      <c r="A26" s="136" t="s">
        <v>686</v>
      </c>
      <c r="B26" s="141" t="s">
        <v>215</v>
      </c>
      <c r="C26" s="139">
        <v>2320</v>
      </c>
      <c r="D26" s="140">
        <v>4.5</v>
      </c>
      <c r="E26" s="140">
        <f t="shared" si="0"/>
        <v>10440</v>
      </c>
      <c r="F26" s="12" t="s">
        <v>56</v>
      </c>
      <c r="G26" s="93"/>
      <c r="H26" s="25"/>
    </row>
    <row r="27" spans="1:8" ht="34.5" thickBot="1" x14ac:dyDescent="0.3">
      <c r="A27" s="136" t="s">
        <v>687</v>
      </c>
      <c r="B27" s="141" t="s">
        <v>212</v>
      </c>
      <c r="C27" s="139">
        <v>8</v>
      </c>
      <c r="D27" s="140">
        <v>175</v>
      </c>
      <c r="E27" s="140">
        <f t="shared" si="0"/>
        <v>1400</v>
      </c>
      <c r="F27" s="12" t="s">
        <v>51</v>
      </c>
      <c r="G27" s="93"/>
      <c r="H27" s="25"/>
    </row>
    <row r="28" spans="1:8" ht="57" thickBot="1" x14ac:dyDescent="0.3">
      <c r="A28" s="136" t="s">
        <v>688</v>
      </c>
      <c r="B28" s="141" t="s">
        <v>212</v>
      </c>
      <c r="C28" s="139">
        <v>8</v>
      </c>
      <c r="D28" s="140">
        <v>450</v>
      </c>
      <c r="E28" s="140">
        <f t="shared" si="0"/>
        <v>3600</v>
      </c>
      <c r="F28" s="389" t="s">
        <v>57</v>
      </c>
      <c r="G28" s="93"/>
      <c r="H28" s="25"/>
    </row>
    <row r="29" spans="1:8" ht="34.5" thickBot="1" x14ac:dyDescent="0.3">
      <c r="A29" s="136" t="s">
        <v>689</v>
      </c>
      <c r="B29" s="141" t="s">
        <v>391</v>
      </c>
      <c r="C29" s="139">
        <v>4</v>
      </c>
      <c r="D29" s="140">
        <v>400</v>
      </c>
      <c r="E29" s="140">
        <f t="shared" si="0"/>
        <v>1600</v>
      </c>
      <c r="F29" s="12" t="s">
        <v>51</v>
      </c>
      <c r="G29" s="93"/>
      <c r="H29" s="25"/>
    </row>
    <row r="30" spans="1:8" ht="57" thickBot="1" x14ac:dyDescent="0.3">
      <c r="A30" s="136" t="s">
        <v>690</v>
      </c>
      <c r="B30" s="141" t="s">
        <v>212</v>
      </c>
      <c r="C30" s="139">
        <v>16</v>
      </c>
      <c r="D30" s="140">
        <v>300</v>
      </c>
      <c r="E30" s="140">
        <f t="shared" si="0"/>
        <v>4800</v>
      </c>
      <c r="F30" s="12" t="s">
        <v>56</v>
      </c>
      <c r="G30" s="93"/>
      <c r="H30" s="25"/>
    </row>
    <row r="31" spans="1:8" ht="48" thickBot="1" x14ac:dyDescent="0.3">
      <c r="A31" s="142" t="s">
        <v>691</v>
      </c>
      <c r="B31" s="143" t="s">
        <v>212</v>
      </c>
      <c r="C31" s="144">
        <v>324</v>
      </c>
      <c r="D31" s="145">
        <v>35</v>
      </c>
      <c r="E31" s="140">
        <f t="shared" si="0"/>
        <v>11340</v>
      </c>
      <c r="F31" s="12" t="s">
        <v>51</v>
      </c>
      <c r="G31" s="93"/>
      <c r="H31" s="25"/>
    </row>
    <row r="32" spans="1:8" ht="48" thickBot="1" x14ac:dyDescent="0.3">
      <c r="A32" s="142" t="s">
        <v>692</v>
      </c>
      <c r="B32" s="143" t="s">
        <v>212</v>
      </c>
      <c r="C32" s="144">
        <v>312</v>
      </c>
      <c r="D32" s="145">
        <v>145</v>
      </c>
      <c r="E32" s="140">
        <f t="shared" si="0"/>
        <v>45240</v>
      </c>
      <c r="F32" s="12" t="s">
        <v>51</v>
      </c>
      <c r="G32" s="93"/>
      <c r="H32" s="25"/>
    </row>
    <row r="33" spans="1:8" ht="34.5" thickBot="1" x14ac:dyDescent="0.3">
      <c r="A33" s="142" t="s">
        <v>693</v>
      </c>
      <c r="B33" s="143" t="s">
        <v>214</v>
      </c>
      <c r="C33" s="144">
        <v>12</v>
      </c>
      <c r="D33" s="145">
        <v>400</v>
      </c>
      <c r="E33" s="140">
        <f t="shared" si="0"/>
        <v>4800</v>
      </c>
      <c r="F33" s="12" t="s">
        <v>51</v>
      </c>
      <c r="G33" s="93"/>
      <c r="H33" s="25"/>
    </row>
    <row r="34" spans="1:8" ht="34.5" thickBot="1" x14ac:dyDescent="0.3">
      <c r="A34" s="142" t="s">
        <v>694</v>
      </c>
      <c r="B34" s="146" t="s">
        <v>214</v>
      </c>
      <c r="C34" s="144">
        <v>12</v>
      </c>
      <c r="D34" s="145">
        <v>500</v>
      </c>
      <c r="E34" s="140">
        <f t="shared" si="0"/>
        <v>6000</v>
      </c>
      <c r="F34" s="12" t="s">
        <v>51</v>
      </c>
      <c r="G34" s="93"/>
      <c r="H34" s="25"/>
    </row>
    <row r="35" spans="1:8" ht="57" thickBot="1" x14ac:dyDescent="0.3">
      <c r="A35" s="136" t="s">
        <v>216</v>
      </c>
      <c r="B35" s="146" t="s">
        <v>212</v>
      </c>
      <c r="C35" s="144">
        <v>750</v>
      </c>
      <c r="D35" s="145">
        <v>40</v>
      </c>
      <c r="E35" s="140">
        <f t="shared" si="0"/>
        <v>30000</v>
      </c>
      <c r="F35" s="389" t="s">
        <v>57</v>
      </c>
      <c r="G35" s="93"/>
      <c r="H35" s="25"/>
    </row>
    <row r="36" spans="1:8" ht="57" thickBot="1" x14ac:dyDescent="0.3">
      <c r="A36" s="136" t="s">
        <v>695</v>
      </c>
      <c r="B36" s="146" t="s">
        <v>212</v>
      </c>
      <c r="C36" s="144">
        <v>20</v>
      </c>
      <c r="D36" s="145">
        <v>1000</v>
      </c>
      <c r="E36" s="140">
        <f t="shared" si="0"/>
        <v>20000</v>
      </c>
      <c r="F36" s="12" t="s">
        <v>56</v>
      </c>
      <c r="G36" s="93"/>
      <c r="H36" s="25"/>
    </row>
    <row r="37" spans="1:8" ht="57" thickBot="1" x14ac:dyDescent="0.3">
      <c r="A37" s="136" t="s">
        <v>696</v>
      </c>
      <c r="B37" s="146" t="s">
        <v>212</v>
      </c>
      <c r="C37" s="144">
        <v>54</v>
      </c>
      <c r="D37" s="145">
        <v>250</v>
      </c>
      <c r="E37" s="140">
        <f t="shared" si="0"/>
        <v>13500</v>
      </c>
      <c r="F37" s="12" t="s">
        <v>56</v>
      </c>
      <c r="G37" s="93"/>
      <c r="H37" s="25"/>
    </row>
    <row r="38" spans="1:8" ht="48" thickBot="1" x14ac:dyDescent="0.3">
      <c r="A38" s="136" t="s">
        <v>682</v>
      </c>
      <c r="B38" s="146" t="s">
        <v>212</v>
      </c>
      <c r="C38" s="144">
        <v>1160</v>
      </c>
      <c r="D38" s="145">
        <v>22</v>
      </c>
      <c r="E38" s="140">
        <f t="shared" si="0"/>
        <v>25520</v>
      </c>
      <c r="F38" s="12" t="s">
        <v>51</v>
      </c>
      <c r="G38" s="93"/>
      <c r="H38" s="25"/>
    </row>
    <row r="39" spans="1:8" ht="48" thickBot="1" x14ac:dyDescent="0.3">
      <c r="A39" s="136" t="s">
        <v>683</v>
      </c>
      <c r="B39" s="146" t="s">
        <v>212</v>
      </c>
      <c r="C39" s="144">
        <v>928</v>
      </c>
      <c r="D39" s="145">
        <v>22</v>
      </c>
      <c r="E39" s="140">
        <f t="shared" si="0"/>
        <v>20416</v>
      </c>
      <c r="F39" s="12" t="s">
        <v>51</v>
      </c>
      <c r="G39" s="93"/>
      <c r="H39" s="25"/>
    </row>
    <row r="40" spans="1:8" ht="57" thickBot="1" x14ac:dyDescent="0.3">
      <c r="A40" s="136" t="s">
        <v>684</v>
      </c>
      <c r="B40" s="146" t="s">
        <v>212</v>
      </c>
      <c r="C40" s="144">
        <v>112</v>
      </c>
      <c r="D40" s="145">
        <v>60</v>
      </c>
      <c r="E40" s="140">
        <f t="shared" si="0"/>
        <v>6720</v>
      </c>
      <c r="F40" s="389" t="s">
        <v>57</v>
      </c>
      <c r="G40" s="93"/>
      <c r="H40" s="25"/>
    </row>
    <row r="41" spans="1:8" ht="48" thickBot="1" x14ac:dyDescent="0.3">
      <c r="A41" s="136" t="s">
        <v>213</v>
      </c>
      <c r="B41" s="146" t="s">
        <v>214</v>
      </c>
      <c r="C41" s="144">
        <v>232</v>
      </c>
      <c r="D41" s="145">
        <v>40</v>
      </c>
      <c r="E41" s="140">
        <f t="shared" si="0"/>
        <v>9280</v>
      </c>
      <c r="F41" s="12" t="s">
        <v>51</v>
      </c>
      <c r="G41" s="93"/>
      <c r="H41" s="25"/>
    </row>
    <row r="42" spans="1:8" ht="57" thickBot="1" x14ac:dyDescent="0.3">
      <c r="A42" s="136" t="s">
        <v>685</v>
      </c>
      <c r="B42" s="146" t="s">
        <v>212</v>
      </c>
      <c r="C42" s="144">
        <v>20</v>
      </c>
      <c r="D42" s="145">
        <v>500</v>
      </c>
      <c r="E42" s="140">
        <f t="shared" si="0"/>
        <v>10000</v>
      </c>
      <c r="F42" s="12" t="s">
        <v>56</v>
      </c>
      <c r="G42" s="93"/>
      <c r="H42" s="25"/>
    </row>
    <row r="43" spans="1:8" ht="57" thickBot="1" x14ac:dyDescent="0.3">
      <c r="A43" s="390" t="s">
        <v>686</v>
      </c>
      <c r="B43" s="146" t="s">
        <v>215</v>
      </c>
      <c r="C43" s="144">
        <v>2320</v>
      </c>
      <c r="D43" s="145">
        <v>4.5</v>
      </c>
      <c r="E43" s="140">
        <f t="shared" si="0"/>
        <v>10440</v>
      </c>
      <c r="F43" s="12" t="s">
        <v>56</v>
      </c>
      <c r="G43" s="93"/>
      <c r="H43" s="25"/>
    </row>
    <row r="44" spans="1:8" ht="34.5" thickBot="1" x14ac:dyDescent="0.3">
      <c r="A44" s="154" t="s">
        <v>687</v>
      </c>
      <c r="B44" s="146" t="s">
        <v>212</v>
      </c>
      <c r="C44" s="144">
        <v>8</v>
      </c>
      <c r="D44" s="145">
        <v>175</v>
      </c>
      <c r="E44" s="140">
        <f t="shared" si="0"/>
        <v>1400</v>
      </c>
      <c r="F44" s="12" t="s">
        <v>51</v>
      </c>
      <c r="G44" s="93"/>
      <c r="H44" s="25"/>
    </row>
    <row r="45" spans="1:8" ht="57" thickBot="1" x14ac:dyDescent="0.3">
      <c r="A45" s="154" t="s">
        <v>688</v>
      </c>
      <c r="B45" s="146" t="s">
        <v>212</v>
      </c>
      <c r="C45" s="144">
        <v>8</v>
      </c>
      <c r="D45" s="145">
        <v>450</v>
      </c>
      <c r="E45" s="140">
        <f t="shared" si="0"/>
        <v>3600</v>
      </c>
      <c r="F45" s="389" t="s">
        <v>57</v>
      </c>
      <c r="G45" s="93"/>
      <c r="H45" s="25"/>
    </row>
    <row r="46" spans="1:8" ht="57" thickBot="1" x14ac:dyDescent="0.3">
      <c r="A46" s="136" t="s">
        <v>690</v>
      </c>
      <c r="B46" s="141" t="s">
        <v>212</v>
      </c>
      <c r="C46" s="139">
        <v>16</v>
      </c>
      <c r="D46" s="140">
        <v>300</v>
      </c>
      <c r="E46" s="140">
        <f t="shared" si="0"/>
        <v>4800</v>
      </c>
      <c r="F46" s="12" t="s">
        <v>56</v>
      </c>
      <c r="G46" s="93"/>
      <c r="H46" s="25"/>
    </row>
    <row r="47" spans="1:8" ht="34.5" thickBot="1" x14ac:dyDescent="0.3">
      <c r="A47" s="136" t="s">
        <v>689</v>
      </c>
      <c r="B47" s="138" t="s">
        <v>391</v>
      </c>
      <c r="C47" s="139">
        <v>4</v>
      </c>
      <c r="D47" s="140">
        <v>400</v>
      </c>
      <c r="E47" s="140">
        <f>C47*D47</f>
        <v>1600</v>
      </c>
      <c r="F47" s="12" t="s">
        <v>51</v>
      </c>
      <c r="G47" s="93"/>
      <c r="H47" s="25" t="str">
        <f>IF(F47=0," ",VLOOKUP(F47,[11]Sheet1!$A$1:$B$8,2,FALSE))</f>
        <v>If lump sums, include a reference to the defined rules approved by the PO.</v>
      </c>
    </row>
    <row r="48" spans="1:8" ht="16.5" thickBot="1" x14ac:dyDescent="0.3">
      <c r="A48" s="544" t="s">
        <v>4</v>
      </c>
      <c r="B48" s="545"/>
      <c r="C48" s="545"/>
      <c r="D48" s="546"/>
      <c r="E48" s="135">
        <f>SUM(E20:E47)</f>
        <v>1318432</v>
      </c>
      <c r="F48" s="12"/>
      <c r="G48" s="93"/>
      <c r="H48" s="25" t="str">
        <f>IF(F48=0," ",VLOOKUP(F48,[11]Sheet1!$A$1:$B$8,2,FALSE))</f>
        <v xml:space="preserve"> </v>
      </c>
    </row>
    <row r="49" spans="1:8" ht="15.75" thickBot="1" x14ac:dyDescent="0.3">
      <c r="A49" s="520" t="s">
        <v>167</v>
      </c>
      <c r="B49" s="521"/>
      <c r="C49" s="521"/>
      <c r="D49" s="521"/>
      <c r="E49" s="521"/>
      <c r="F49" s="521"/>
      <c r="G49" s="522"/>
      <c r="H49" s="37"/>
    </row>
    <row r="50" spans="1:8" ht="57" thickBot="1" x14ac:dyDescent="0.3">
      <c r="A50" s="136" t="s">
        <v>217</v>
      </c>
      <c r="B50" s="138" t="s">
        <v>218</v>
      </c>
      <c r="C50" s="139">
        <v>10</v>
      </c>
      <c r="D50" s="140">
        <v>150407.79999999999</v>
      </c>
      <c r="E50" s="140">
        <f>C50*D50</f>
        <v>1504078</v>
      </c>
      <c r="F50" s="12" t="s">
        <v>56</v>
      </c>
      <c r="G50" s="93"/>
      <c r="H50" s="25" t="str">
        <f>IF(F50=0," ",VLOOKUP(F50,[11]Sheet1!$A$1:$B$8,2,FALSE))</f>
        <v>Awarding should comply with the applicable rules on public procurement  (Regulations Art. 8.15).</v>
      </c>
    </row>
    <row r="51" spans="1:8" ht="16.5" thickBot="1" x14ac:dyDescent="0.3">
      <c r="A51" s="147"/>
      <c r="B51" s="148"/>
      <c r="C51" s="139"/>
      <c r="D51" s="140"/>
      <c r="E51" s="140"/>
      <c r="F51" s="12"/>
      <c r="G51" s="93"/>
      <c r="H51" s="25" t="str">
        <f>IF(F51=0," ",VLOOKUP(F51,[11]Sheet1!$A$1:$B$8,2,FALSE))</f>
        <v xml:space="preserve"> </v>
      </c>
    </row>
    <row r="52" spans="1:8" ht="16.5" thickBot="1" x14ac:dyDescent="0.3">
      <c r="A52" s="544" t="s">
        <v>5</v>
      </c>
      <c r="B52" s="545"/>
      <c r="C52" s="545"/>
      <c r="D52" s="546"/>
      <c r="E52" s="135">
        <f>SUM(E50:E51)</f>
        <v>1504078</v>
      </c>
      <c r="F52" s="12"/>
      <c r="G52" s="93"/>
      <c r="H52" s="25" t="str">
        <f>IF(F52=0," ",VLOOKUP(F52,[11]Sheet1!$A$1:$B$8,2,FALSE))</f>
        <v xml:space="preserve"> </v>
      </c>
    </row>
    <row r="53" spans="1:8" ht="15.75" thickBot="1" x14ac:dyDescent="0.3">
      <c r="A53" s="520" t="s">
        <v>169</v>
      </c>
      <c r="B53" s="521"/>
      <c r="C53" s="521"/>
      <c r="D53" s="521"/>
      <c r="E53" s="521"/>
      <c r="F53" s="521"/>
      <c r="G53" s="522"/>
      <c r="H53" s="37"/>
    </row>
    <row r="54" spans="1:8" ht="95.25" thickBot="1" x14ac:dyDescent="0.3">
      <c r="A54" s="136" t="s">
        <v>697</v>
      </c>
      <c r="B54" s="139" t="s">
        <v>219</v>
      </c>
      <c r="C54" s="139">
        <v>1</v>
      </c>
      <c r="D54" s="140">
        <v>700000</v>
      </c>
      <c r="E54" s="140">
        <f>C54*D54</f>
        <v>700000</v>
      </c>
      <c r="F54" s="12" t="s">
        <v>56</v>
      </c>
      <c r="G54" s="93"/>
      <c r="H54" s="25" t="str">
        <f>IF(F54=0," ",VLOOKUP(F54,[11]Sheet1!$A$1:$B$8,2,FALSE))</f>
        <v>Awarding should comply with the applicable rules on public procurement  (Regulations Art. 8.15).</v>
      </c>
    </row>
    <row r="55" spans="1:8" ht="57" thickBot="1" x14ac:dyDescent="0.3">
      <c r="A55" s="136" t="s">
        <v>220</v>
      </c>
      <c r="B55" s="137" t="s">
        <v>221</v>
      </c>
      <c r="C55" s="137">
        <v>3</v>
      </c>
      <c r="D55" s="134">
        <v>1000</v>
      </c>
      <c r="E55" s="140">
        <f>C55*D55</f>
        <v>3000</v>
      </c>
      <c r="F55" s="389" t="s">
        <v>57</v>
      </c>
      <c r="G55" s="93"/>
      <c r="H55" s="25"/>
    </row>
    <row r="56" spans="1:8" ht="57" thickBot="1" x14ac:dyDescent="0.3">
      <c r="A56" s="131" t="s">
        <v>222</v>
      </c>
      <c r="B56" s="137" t="s">
        <v>223</v>
      </c>
      <c r="C56" s="137">
        <v>1000</v>
      </c>
      <c r="D56" s="134">
        <v>8</v>
      </c>
      <c r="E56" s="140">
        <f>C56*D56</f>
        <v>8000</v>
      </c>
      <c r="F56" s="12" t="s">
        <v>56</v>
      </c>
      <c r="G56" s="93"/>
      <c r="H56" s="25"/>
    </row>
    <row r="57" spans="1:8" ht="57" thickBot="1" x14ac:dyDescent="0.3">
      <c r="A57" s="131" t="s">
        <v>224</v>
      </c>
      <c r="B57" s="137" t="s">
        <v>225</v>
      </c>
      <c r="C57" s="137">
        <v>1000</v>
      </c>
      <c r="D57" s="134">
        <v>9</v>
      </c>
      <c r="E57" s="140">
        <f>C57*D57</f>
        <v>9000</v>
      </c>
      <c r="F57" s="12" t="s">
        <v>56</v>
      </c>
      <c r="G57" s="93"/>
      <c r="H57" s="25"/>
    </row>
    <row r="58" spans="1:8" ht="15.75" thickBot="1" x14ac:dyDescent="0.3">
      <c r="A58" s="1"/>
      <c r="B58" s="92"/>
      <c r="C58" s="3"/>
      <c r="D58" s="4"/>
      <c r="E58" s="4"/>
      <c r="F58" s="12"/>
      <c r="G58" s="93"/>
      <c r="H58" s="25" t="str">
        <f>IF(F58=0," ",VLOOKUP(F58,[11]Sheet1!$A$1:$B$8,2,FALSE))</f>
        <v xml:space="preserve"> </v>
      </c>
    </row>
    <row r="59" spans="1:8" ht="16.5" thickBot="1" x14ac:dyDescent="0.3">
      <c r="A59" s="544" t="s">
        <v>6</v>
      </c>
      <c r="B59" s="545"/>
      <c r="C59" s="545"/>
      <c r="D59" s="546"/>
      <c r="E59" s="135">
        <f>SUM(E54:E58)</f>
        <v>720000</v>
      </c>
      <c r="F59" s="12"/>
      <c r="G59" s="93"/>
      <c r="H59" s="25" t="str">
        <f>IF(F59=0," ",VLOOKUP(F59,[11]Sheet1!$A$1:$B$8,2,FALSE))</f>
        <v xml:space="preserve"> </v>
      </c>
    </row>
    <row r="60" spans="1:8" ht="16.5" thickBot="1" x14ac:dyDescent="0.3">
      <c r="A60" s="149" t="s">
        <v>226</v>
      </c>
      <c r="B60" s="316"/>
      <c r="C60" s="316"/>
      <c r="D60" s="316"/>
      <c r="E60" s="316"/>
      <c r="F60" s="316"/>
      <c r="G60" s="317"/>
      <c r="H60" s="37"/>
    </row>
    <row r="61" spans="1:8" ht="16.5" thickBot="1" x14ac:dyDescent="0.3">
      <c r="A61" s="136"/>
      <c r="B61" s="138"/>
      <c r="C61" s="139"/>
      <c r="D61" s="140"/>
      <c r="E61" s="134"/>
      <c r="F61" s="12"/>
      <c r="G61" s="93"/>
      <c r="H61" s="25" t="str">
        <f>IF(F61=0," ",VLOOKUP(F61,[11]Sheet1!$A$1:$B$8,2,FALSE))</f>
        <v xml:space="preserve"> </v>
      </c>
    </row>
    <row r="62" spans="1:8" ht="16.5" thickBot="1" x14ac:dyDescent="0.3">
      <c r="A62" s="136"/>
      <c r="B62" s="138"/>
      <c r="C62" s="139"/>
      <c r="D62" s="140"/>
      <c r="E62" s="134"/>
      <c r="F62" s="12"/>
      <c r="G62" s="93"/>
      <c r="H62" s="25"/>
    </row>
    <row r="63" spans="1:8" ht="16.5" thickBot="1" x14ac:dyDescent="0.3">
      <c r="A63" s="136"/>
      <c r="B63" s="141"/>
      <c r="C63" s="139"/>
      <c r="D63" s="140"/>
      <c r="E63" s="134"/>
      <c r="F63" s="12"/>
      <c r="G63" s="93"/>
      <c r="H63" s="25"/>
    </row>
    <row r="64" spans="1:8" ht="16.5" thickBot="1" x14ac:dyDescent="0.3">
      <c r="A64" s="136"/>
      <c r="B64" s="138"/>
      <c r="C64" s="139"/>
      <c r="D64" s="140"/>
      <c r="E64" s="134"/>
      <c r="F64" s="12"/>
      <c r="G64" s="93"/>
      <c r="H64" s="25"/>
    </row>
    <row r="65" spans="1:11" ht="16.5" thickBot="1" x14ac:dyDescent="0.3">
      <c r="A65" s="136"/>
      <c r="B65" s="138"/>
      <c r="C65" s="139"/>
      <c r="D65" s="140"/>
      <c r="E65" s="134"/>
      <c r="F65" s="12"/>
      <c r="G65" s="93"/>
      <c r="H65" s="25" t="str">
        <f>IF(F65=0," ",VLOOKUP(F65,[11]Sheet1!$A$1:$B$8,2,FALSE))</f>
        <v xml:space="preserve"> </v>
      </c>
    </row>
    <row r="66" spans="1:11" ht="16.5" thickBot="1" x14ac:dyDescent="0.3">
      <c r="A66" s="136"/>
      <c r="B66" s="141"/>
      <c r="C66" s="139"/>
      <c r="D66" s="140"/>
      <c r="E66" s="134"/>
      <c r="F66" s="12"/>
      <c r="G66" s="93"/>
      <c r="H66" s="25" t="str">
        <f>IF(F66=0," ",VLOOKUP(F66,[11]Sheet1!$A$1:$B$8,2,FALSE))</f>
        <v xml:space="preserve"> </v>
      </c>
    </row>
    <row r="67" spans="1:11" ht="16.5" thickBot="1" x14ac:dyDescent="0.3">
      <c r="A67" s="544" t="s">
        <v>123</v>
      </c>
      <c r="B67" s="545"/>
      <c r="C67" s="545"/>
      <c r="D67" s="550"/>
      <c r="E67" s="135">
        <f>SUM(E61:E66)</f>
        <v>0</v>
      </c>
      <c r="F67" s="12"/>
      <c r="G67" s="93"/>
      <c r="H67" s="104"/>
    </row>
    <row r="68" spans="1:11" ht="16.5" thickBot="1" x14ac:dyDescent="0.3">
      <c r="A68" s="561" t="s">
        <v>11</v>
      </c>
      <c r="B68" s="562"/>
      <c r="C68" s="562"/>
      <c r="D68" s="563"/>
      <c r="E68" s="150">
        <f>E18+E48+E52+E59+E67</f>
        <v>3617510</v>
      </c>
      <c r="F68" s="93"/>
      <c r="G68" s="93"/>
      <c r="H68" s="38"/>
    </row>
    <row r="69" spans="1:11" ht="15.75" thickBot="1" x14ac:dyDescent="0.3">
      <c r="A69" s="532" t="s">
        <v>227</v>
      </c>
      <c r="B69" s="533"/>
      <c r="C69" s="533"/>
      <c r="D69" s="533"/>
      <c r="E69" s="533"/>
      <c r="F69" s="533"/>
      <c r="G69" s="534"/>
      <c r="H69" s="39"/>
    </row>
    <row r="70" spans="1:11" ht="16.5" thickBot="1" x14ac:dyDescent="0.3">
      <c r="A70" s="561" t="s">
        <v>13</v>
      </c>
      <c r="B70" s="562"/>
      <c r="C70" s="562"/>
      <c r="D70" s="563"/>
      <c r="E70" s="151">
        <f>0.2*(B78+E23+E24+E28+E29+E33+E35+E40+E41+E45+E47+E34+E21+E27+E22+E31+E32+E38+E39+E44+E55)-0.4</f>
        <v>62490</v>
      </c>
      <c r="F70" s="93"/>
      <c r="G70" s="93"/>
      <c r="H70" s="40" t="s">
        <v>228</v>
      </c>
      <c r="K70" s="283">
        <f>E70/E68</f>
        <v>1.7274312994297183E-2</v>
      </c>
    </row>
    <row r="71" spans="1:11" ht="16.5" thickBot="1" x14ac:dyDescent="0.3">
      <c r="A71" s="529" t="s">
        <v>22</v>
      </c>
      <c r="B71" s="530"/>
      <c r="C71" s="530"/>
      <c r="D71" s="531"/>
      <c r="E71" s="152">
        <f>E68+E70</f>
        <v>3680000</v>
      </c>
      <c r="F71" s="93"/>
      <c r="G71" s="93"/>
      <c r="H71" s="41"/>
    </row>
    <row r="72" spans="1:11" ht="15.75" thickBot="1" x14ac:dyDescent="0.3">
      <c r="A72" s="15"/>
      <c r="B72" s="15"/>
      <c r="C72" s="15"/>
      <c r="D72" s="15"/>
      <c r="E72" s="15"/>
      <c r="F72" s="15"/>
      <c r="G72" s="15"/>
      <c r="H72" s="128"/>
    </row>
    <row r="73" spans="1:11" ht="15.75" thickBot="1" x14ac:dyDescent="0.3">
      <c r="A73" s="486" t="s">
        <v>229</v>
      </c>
      <c r="B73" s="486"/>
      <c r="C73" s="486"/>
      <c r="D73" s="486"/>
      <c r="E73" s="9">
        <f>E18</f>
        <v>75000</v>
      </c>
      <c r="F73" s="15"/>
      <c r="G73" s="15"/>
      <c r="H73" s="128"/>
    </row>
    <row r="74" spans="1:11" ht="15.75" thickBot="1" x14ac:dyDescent="0.3">
      <c r="A74" s="486" t="s">
        <v>20</v>
      </c>
      <c r="B74" s="486"/>
      <c r="C74" s="486"/>
      <c r="D74" s="486"/>
      <c r="E74" s="6">
        <f>E48+E52+E59</f>
        <v>3542510</v>
      </c>
      <c r="F74" s="15"/>
      <c r="G74" s="15"/>
      <c r="H74" s="128"/>
    </row>
    <row r="75" spans="1:11" x14ac:dyDescent="0.25">
      <c r="A75" s="15"/>
      <c r="B75" s="15"/>
      <c r="C75" s="15"/>
      <c r="D75" s="15"/>
      <c r="E75" s="15"/>
      <c r="F75" s="15"/>
      <c r="G75" s="15"/>
      <c r="H75" s="128"/>
    </row>
    <row r="76" spans="1:11" ht="15.75" thickBot="1" x14ac:dyDescent="0.3">
      <c r="A76" s="15"/>
      <c r="B76" s="15"/>
      <c r="C76" s="15"/>
      <c r="D76" s="15"/>
      <c r="E76" s="15"/>
      <c r="F76" s="15"/>
      <c r="G76" s="15"/>
      <c r="H76" s="128"/>
    </row>
    <row r="77" spans="1:11" ht="23.25" thickBot="1" x14ac:dyDescent="0.3">
      <c r="A77" s="21" t="s">
        <v>35</v>
      </c>
      <c r="B77" s="19" t="s">
        <v>27</v>
      </c>
      <c r="C77" s="19" t="s">
        <v>28</v>
      </c>
      <c r="D77" s="19" t="s">
        <v>29</v>
      </c>
      <c r="E77" s="19" t="s">
        <v>30</v>
      </c>
      <c r="F77" s="19" t="s">
        <v>230</v>
      </c>
      <c r="G77" s="19" t="s">
        <v>25</v>
      </c>
      <c r="H77" s="42" t="s">
        <v>26</v>
      </c>
    </row>
    <row r="78" spans="1:11" ht="16.5" thickBot="1" x14ac:dyDescent="0.3">
      <c r="A78" s="315" t="s">
        <v>50</v>
      </c>
      <c r="B78" s="136">
        <f>E18</f>
        <v>75000</v>
      </c>
      <c r="C78" s="153">
        <f>B78/3</f>
        <v>25000</v>
      </c>
      <c r="D78" s="139">
        <f>B78/3</f>
        <v>25000</v>
      </c>
      <c r="E78" s="140">
        <f>B78/3</f>
        <v>25000</v>
      </c>
      <c r="F78" s="140"/>
      <c r="G78" s="154"/>
      <c r="H78" s="41"/>
    </row>
    <row r="79" spans="1:11" ht="23.25" thickBot="1" x14ac:dyDescent="0.3">
      <c r="A79" s="315" t="s">
        <v>51</v>
      </c>
      <c r="B79" s="131"/>
      <c r="C79" s="153">
        <f>E21+E22+E24+E27+E29+E31+E32+E33+E34+E38+E39+E41+E44+E47</f>
        <v>183812</v>
      </c>
      <c r="D79" s="137"/>
      <c r="E79" s="134"/>
      <c r="F79" s="134"/>
      <c r="G79" s="154">
        <f>SUM(C79:F79)</f>
        <v>183812</v>
      </c>
      <c r="H79" s="41"/>
    </row>
    <row r="80" spans="1:11" ht="23.25" thickBot="1" x14ac:dyDescent="0.3">
      <c r="A80" s="315" t="s">
        <v>52</v>
      </c>
      <c r="B80" s="131"/>
      <c r="C80" s="132"/>
      <c r="D80" s="137"/>
      <c r="E80" s="134"/>
      <c r="F80" s="134"/>
      <c r="G80" s="154"/>
      <c r="H80" s="41"/>
    </row>
    <row r="81" spans="1:8" ht="23.25" thickBot="1" x14ac:dyDescent="0.3">
      <c r="A81" s="315" t="s">
        <v>53</v>
      </c>
      <c r="B81" s="131"/>
      <c r="C81" s="132"/>
      <c r="D81" s="137"/>
      <c r="E81" s="134"/>
      <c r="F81" s="134"/>
      <c r="G81" s="154"/>
      <c r="H81" s="41"/>
    </row>
    <row r="82" spans="1:8" ht="23.25" thickBot="1" x14ac:dyDescent="0.3">
      <c r="A82" s="315" t="s">
        <v>54</v>
      </c>
      <c r="B82" s="131"/>
      <c r="C82" s="132"/>
      <c r="D82" s="137"/>
      <c r="E82" s="134"/>
      <c r="F82" s="134"/>
      <c r="G82" s="154"/>
      <c r="H82" s="41"/>
    </row>
    <row r="83" spans="1:8" ht="16.5" thickBot="1" x14ac:dyDescent="0.3">
      <c r="A83" s="315" t="s">
        <v>55</v>
      </c>
      <c r="B83" s="131"/>
      <c r="C83" s="132"/>
      <c r="D83" s="137"/>
      <c r="E83" s="134"/>
      <c r="F83" s="134"/>
      <c r="G83" s="154"/>
      <c r="H83" s="41"/>
    </row>
    <row r="84" spans="1:8" ht="23.25" thickBot="1" x14ac:dyDescent="0.3">
      <c r="A84" s="315" t="s">
        <v>56</v>
      </c>
      <c r="B84" s="131"/>
      <c r="C84" s="132">
        <f>E25+E26+E36+E42+E43+E20+E37+E30+E46</f>
        <v>1083980</v>
      </c>
      <c r="D84" s="137">
        <f>E50</f>
        <v>1504078</v>
      </c>
      <c r="E84" s="134">
        <f>E54+E56+E57</f>
        <v>717000</v>
      </c>
      <c r="F84" s="134"/>
      <c r="G84" s="154">
        <f>SUM(C84:F84)</f>
        <v>3305058</v>
      </c>
      <c r="H84" s="107"/>
    </row>
    <row r="85" spans="1:8" ht="23.25" thickBot="1" x14ac:dyDescent="0.3">
      <c r="A85" s="315" t="s">
        <v>57</v>
      </c>
      <c r="B85" s="131"/>
      <c r="C85" s="132">
        <f>E23+E28+E35+E40+E45</f>
        <v>50640</v>
      </c>
      <c r="D85" s="137"/>
      <c r="E85" s="134">
        <f>E55</f>
        <v>3000</v>
      </c>
      <c r="F85" s="134"/>
      <c r="G85" s="154">
        <f>SUM(C85:F85)</f>
        <v>53640</v>
      </c>
      <c r="H85" s="107"/>
    </row>
    <row r="86" spans="1:8" ht="16.5" thickBot="1" x14ac:dyDescent="0.3">
      <c r="A86" s="315" t="s">
        <v>32</v>
      </c>
      <c r="B86" s="131"/>
      <c r="C86" s="132"/>
      <c r="D86" s="137"/>
      <c r="E86" s="134"/>
      <c r="F86" s="134"/>
      <c r="G86" s="154"/>
      <c r="H86" s="107"/>
    </row>
    <row r="87" spans="1:8" ht="16.5" thickBot="1" x14ac:dyDescent="0.3">
      <c r="A87" s="19" t="s">
        <v>33</v>
      </c>
      <c r="B87" s="131">
        <f>B78</f>
        <v>75000</v>
      </c>
      <c r="C87" s="132">
        <f>SUM(C79:C86)</f>
        <v>1318432</v>
      </c>
      <c r="D87" s="137">
        <f>SUM(D79:D86)</f>
        <v>1504078</v>
      </c>
      <c r="E87" s="134">
        <f>SUM(E79:E86)</f>
        <v>720000</v>
      </c>
      <c r="F87" s="134"/>
      <c r="G87" s="155">
        <f>B87+C87+D87+E87+E70</f>
        <v>3680000</v>
      </c>
      <c r="H87" s="43"/>
    </row>
    <row r="88" spans="1:8" ht="16.5" thickBot="1" x14ac:dyDescent="0.3">
      <c r="A88" s="19" t="s">
        <v>34</v>
      </c>
      <c r="B88" s="131"/>
      <c r="C88" s="132"/>
      <c r="D88" s="137"/>
      <c r="E88" s="134"/>
      <c r="F88" s="134"/>
      <c r="G88" s="154"/>
      <c r="H88" s="43"/>
    </row>
    <row r="91" spans="1:8" x14ac:dyDescent="0.25">
      <c r="A91" s="292" t="s">
        <v>538</v>
      </c>
      <c r="B91" s="294">
        <f>E18+E21+E22+E23+E24+E25+E26+E27+E28+E29+E30+E31+E32+E33+E34+E35+E36+E37+E38+E39+E40+E41+E42+E43+E44+E45+E46+E47+E55+E56+E57</f>
        <v>413432</v>
      </c>
      <c r="E91" s="283"/>
    </row>
    <row r="92" spans="1:8" x14ac:dyDescent="0.25">
      <c r="A92" s="292" t="s">
        <v>539</v>
      </c>
      <c r="B92" s="294">
        <f>ROUND(B91*1.19%,2)</f>
        <v>4919.84</v>
      </c>
      <c r="D92" s="282"/>
      <c r="E92" s="283"/>
    </row>
    <row r="93" spans="1:8" x14ac:dyDescent="0.25">
      <c r="A93" s="293" t="s">
        <v>34</v>
      </c>
      <c r="B93" s="295">
        <f>(B91+B92)/E71</f>
        <v>0.11368256521739131</v>
      </c>
    </row>
  </sheetData>
  <mergeCells count="22">
    <mergeCell ref="A73:D73"/>
    <mergeCell ref="A74:D74"/>
    <mergeCell ref="A67:D67"/>
    <mergeCell ref="A68:D68"/>
    <mergeCell ref="A69:G69"/>
    <mergeCell ref="A70:D70"/>
    <mergeCell ref="A71:D71"/>
    <mergeCell ref="B3:G3"/>
    <mergeCell ref="B4:G4"/>
    <mergeCell ref="B5:G5"/>
    <mergeCell ref="B6:G6"/>
    <mergeCell ref="B7:G7"/>
    <mergeCell ref="B8:G8"/>
    <mergeCell ref="A11:G11"/>
    <mergeCell ref="A12:G12"/>
    <mergeCell ref="A18:D18"/>
    <mergeCell ref="A19:G19"/>
    <mergeCell ref="A59:D59"/>
    <mergeCell ref="A52:D52"/>
    <mergeCell ref="A48:D48"/>
    <mergeCell ref="A49:G49"/>
    <mergeCell ref="A53:G5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workbookViewId="0">
      <selection activeCell="B78" sqref="B78"/>
    </sheetView>
  </sheetViews>
  <sheetFormatPr defaultRowHeight="15" x14ac:dyDescent="0.25"/>
  <cols>
    <col min="1" max="1" width="41" customWidth="1"/>
    <col min="2" max="2" width="11.42578125" bestFit="1" customWidth="1"/>
    <col min="3" max="5" width="10.5703125" customWidth="1"/>
    <col min="6" max="6" width="17.85546875" customWidth="1"/>
    <col min="7" max="7" width="35.42578125" customWidth="1"/>
    <col min="8" max="8" width="33.140625" customWidth="1"/>
  </cols>
  <sheetData>
    <row r="1" spans="1:8" x14ac:dyDescent="0.25">
      <c r="A1" s="13" t="s">
        <v>17</v>
      </c>
      <c r="B1" s="14"/>
      <c r="C1" s="14"/>
      <c r="D1" s="15"/>
      <c r="E1" s="15"/>
      <c r="F1" s="15"/>
      <c r="G1" s="15"/>
      <c r="H1" s="29"/>
    </row>
    <row r="2" spans="1:8" ht="15.75" thickBot="1" x14ac:dyDescent="0.3">
      <c r="A2" s="15"/>
      <c r="B2" s="15"/>
      <c r="C2" s="15"/>
      <c r="D2" s="15"/>
      <c r="E2" s="15"/>
      <c r="F2" s="15"/>
      <c r="G2" s="15"/>
      <c r="H2" s="29"/>
    </row>
    <row r="3" spans="1:8" ht="15.75" thickBot="1" x14ac:dyDescent="0.3">
      <c r="A3" s="7" t="s">
        <v>7</v>
      </c>
      <c r="B3" s="499" t="s">
        <v>171</v>
      </c>
      <c r="C3" s="500"/>
      <c r="D3" s="500"/>
      <c r="E3" s="500"/>
      <c r="F3" s="500"/>
      <c r="G3" s="501"/>
      <c r="H3" s="30"/>
    </row>
    <row r="4" spans="1:8" ht="26.25" customHeight="1" thickBot="1" x14ac:dyDescent="0.3">
      <c r="A4" s="8" t="s">
        <v>15</v>
      </c>
      <c r="B4" s="566" t="s">
        <v>520</v>
      </c>
      <c r="C4" s="567"/>
      <c r="D4" s="567"/>
      <c r="E4" s="567"/>
      <c r="F4" s="567"/>
      <c r="G4" s="568"/>
      <c r="H4" s="30"/>
    </row>
    <row r="5" spans="1:8" ht="15.75" thickBot="1" x14ac:dyDescent="0.3">
      <c r="A5" s="8" t="s">
        <v>8</v>
      </c>
      <c r="B5" s="499" t="s">
        <v>231</v>
      </c>
      <c r="C5" s="500"/>
      <c r="D5" s="500"/>
      <c r="E5" s="500"/>
      <c r="F5" s="500"/>
      <c r="G5" s="501"/>
      <c r="H5" s="30"/>
    </row>
    <row r="6" spans="1:8" ht="15.75" thickBot="1" x14ac:dyDescent="0.3">
      <c r="A6" s="8" t="s">
        <v>16</v>
      </c>
      <c r="B6" s="569">
        <v>2100000</v>
      </c>
      <c r="C6" s="570"/>
      <c r="D6" s="570"/>
      <c r="E6" s="570"/>
      <c r="F6" s="570"/>
      <c r="G6" s="571"/>
      <c r="H6" s="31"/>
    </row>
    <row r="7" spans="1:8" ht="15.75" thickBot="1" x14ac:dyDescent="0.3">
      <c r="A7" s="8" t="s">
        <v>2</v>
      </c>
      <c r="B7" s="572">
        <v>1</v>
      </c>
      <c r="C7" s="573"/>
      <c r="D7" s="573"/>
      <c r="E7" s="573"/>
      <c r="F7" s="573"/>
      <c r="G7" s="574"/>
      <c r="H7" s="32"/>
    </row>
    <row r="8" spans="1:8" ht="15.75" thickBot="1" x14ac:dyDescent="0.3">
      <c r="A8" s="8" t="s">
        <v>9</v>
      </c>
      <c r="B8" s="508" t="s">
        <v>203</v>
      </c>
      <c r="C8" s="509"/>
      <c r="D8" s="509"/>
      <c r="E8" s="509"/>
      <c r="F8" s="509"/>
      <c r="G8" s="510"/>
      <c r="H8" s="32"/>
    </row>
    <row r="9" spans="1:8" ht="15.75" thickBot="1" x14ac:dyDescent="0.3">
      <c r="A9" s="23"/>
      <c r="B9" s="24"/>
      <c r="C9" s="22"/>
      <c r="D9" s="22"/>
      <c r="E9" s="22"/>
      <c r="F9" s="22"/>
      <c r="G9" s="22"/>
      <c r="H9" s="33"/>
    </row>
    <row r="10" spans="1:8" ht="34.5" thickBot="1" x14ac:dyDescent="0.3">
      <c r="A10" s="28"/>
      <c r="B10" s="26" t="s">
        <v>0</v>
      </c>
      <c r="C10" s="26" t="s">
        <v>14</v>
      </c>
      <c r="D10" s="26" t="s">
        <v>23</v>
      </c>
      <c r="E10" s="26" t="s">
        <v>18</v>
      </c>
      <c r="F10" s="26" t="s">
        <v>10</v>
      </c>
      <c r="G10" s="27" t="s">
        <v>1</v>
      </c>
      <c r="H10" s="34" t="s">
        <v>36</v>
      </c>
    </row>
    <row r="11" spans="1:8" ht="15.75" thickBot="1" x14ac:dyDescent="0.3">
      <c r="A11" s="511" t="s">
        <v>21</v>
      </c>
      <c r="B11" s="512"/>
      <c r="C11" s="512"/>
      <c r="D11" s="512"/>
      <c r="E11" s="512"/>
      <c r="F11" s="512"/>
      <c r="G11" s="513"/>
      <c r="H11" s="35"/>
    </row>
    <row r="12" spans="1:8" ht="15.75" thickBot="1" x14ac:dyDescent="0.3">
      <c r="A12" s="514" t="s">
        <v>24</v>
      </c>
      <c r="B12" s="515"/>
      <c r="C12" s="515"/>
      <c r="D12" s="515"/>
      <c r="E12" s="515"/>
      <c r="F12" s="515"/>
      <c r="G12" s="516"/>
      <c r="H12" s="36"/>
    </row>
    <row r="13" spans="1:8" ht="34.5" thickBot="1" x14ac:dyDescent="0.3">
      <c r="A13" s="1" t="s">
        <v>205</v>
      </c>
      <c r="B13" s="2" t="s">
        <v>232</v>
      </c>
      <c r="C13" s="3">
        <v>1620</v>
      </c>
      <c r="D13" s="4">
        <v>7</v>
      </c>
      <c r="E13" s="49">
        <f>D13*C13</f>
        <v>11340</v>
      </c>
      <c r="F13" s="12" t="s">
        <v>50</v>
      </c>
      <c r="G13" s="5"/>
      <c r="H13" s="25">
        <f>IF(F13=0,"  ",VLOOKUP(F13,[12]Sheet1!$A$1:$B$8,2,FALSE))</f>
        <v>0</v>
      </c>
    </row>
    <row r="14" spans="1:8" ht="34.5" thickBot="1" x14ac:dyDescent="0.3">
      <c r="A14" s="1" t="s">
        <v>233</v>
      </c>
      <c r="B14" s="2" t="s">
        <v>232</v>
      </c>
      <c r="C14" s="3">
        <v>1620</v>
      </c>
      <c r="D14" s="4">
        <v>7</v>
      </c>
      <c r="E14" s="49">
        <f t="shared" ref="E14:E22" si="0">D14*C14</f>
        <v>11340</v>
      </c>
      <c r="F14" s="12" t="s">
        <v>50</v>
      </c>
      <c r="G14" s="5"/>
      <c r="H14" s="25"/>
    </row>
    <row r="15" spans="1:8" ht="34.5" thickBot="1" x14ac:dyDescent="0.3">
      <c r="A15" s="1" t="s">
        <v>234</v>
      </c>
      <c r="B15" s="2" t="s">
        <v>232</v>
      </c>
      <c r="C15" s="3">
        <v>1440</v>
      </c>
      <c r="D15" s="4">
        <v>7</v>
      </c>
      <c r="E15" s="49">
        <f t="shared" si="0"/>
        <v>10080</v>
      </c>
      <c r="F15" s="12" t="s">
        <v>50</v>
      </c>
      <c r="G15" s="5"/>
      <c r="H15" s="25"/>
    </row>
    <row r="16" spans="1:8" ht="34.5" thickBot="1" x14ac:dyDescent="0.3">
      <c r="A16" s="1" t="s">
        <v>235</v>
      </c>
      <c r="B16" s="2" t="s">
        <v>232</v>
      </c>
      <c r="C16" s="3">
        <v>1280</v>
      </c>
      <c r="D16" s="4">
        <v>6</v>
      </c>
      <c r="E16" s="49">
        <f t="shared" si="0"/>
        <v>7680</v>
      </c>
      <c r="F16" s="12" t="s">
        <v>50</v>
      </c>
      <c r="G16" s="5"/>
      <c r="H16" s="25"/>
    </row>
    <row r="17" spans="1:8" ht="34.5" thickBot="1" x14ac:dyDescent="0.3">
      <c r="A17" s="1" t="s">
        <v>236</v>
      </c>
      <c r="B17" s="2" t="s">
        <v>232</v>
      </c>
      <c r="C17" s="3">
        <v>400</v>
      </c>
      <c r="D17" s="4">
        <v>6</v>
      </c>
      <c r="E17" s="49">
        <f t="shared" si="0"/>
        <v>2400</v>
      </c>
      <c r="F17" s="12" t="s">
        <v>50</v>
      </c>
      <c r="G17" s="5"/>
      <c r="H17" s="25"/>
    </row>
    <row r="18" spans="1:8" ht="34.5" thickBot="1" x14ac:dyDescent="0.3">
      <c r="A18" s="1" t="s">
        <v>237</v>
      </c>
      <c r="B18" s="2" t="s">
        <v>232</v>
      </c>
      <c r="C18" s="3">
        <v>400</v>
      </c>
      <c r="D18" s="4">
        <v>6</v>
      </c>
      <c r="E18" s="49">
        <f t="shared" si="0"/>
        <v>2400</v>
      </c>
      <c r="F18" s="12" t="s">
        <v>50</v>
      </c>
      <c r="G18" s="5"/>
      <c r="H18" s="25"/>
    </row>
    <row r="19" spans="1:8" ht="34.5" thickBot="1" x14ac:dyDescent="0.3">
      <c r="A19" s="1" t="s">
        <v>238</v>
      </c>
      <c r="B19" s="2" t="s">
        <v>232</v>
      </c>
      <c r="C19" s="3">
        <v>400</v>
      </c>
      <c r="D19" s="4">
        <v>6</v>
      </c>
      <c r="E19" s="49">
        <f t="shared" si="0"/>
        <v>2400</v>
      </c>
      <c r="F19" s="12" t="s">
        <v>50</v>
      </c>
      <c r="G19" s="5"/>
      <c r="H19" s="25"/>
    </row>
    <row r="20" spans="1:8" ht="34.5" thickBot="1" x14ac:dyDescent="0.3">
      <c r="A20" s="1" t="s">
        <v>239</v>
      </c>
      <c r="B20" s="2" t="s">
        <v>232</v>
      </c>
      <c r="C20" s="3">
        <v>3240</v>
      </c>
      <c r="D20" s="4">
        <v>6</v>
      </c>
      <c r="E20" s="49">
        <f t="shared" si="0"/>
        <v>19440</v>
      </c>
      <c r="F20" s="12" t="s">
        <v>50</v>
      </c>
      <c r="G20" s="5"/>
      <c r="H20" s="25"/>
    </row>
    <row r="21" spans="1:8" ht="34.5" thickBot="1" x14ac:dyDescent="0.3">
      <c r="A21" s="1" t="s">
        <v>240</v>
      </c>
      <c r="B21" s="2" t="s">
        <v>232</v>
      </c>
      <c r="C21" s="3">
        <v>1440</v>
      </c>
      <c r="D21" s="4">
        <v>6</v>
      </c>
      <c r="E21" s="49">
        <f t="shared" si="0"/>
        <v>8640</v>
      </c>
      <c r="F21" s="12" t="s">
        <v>50</v>
      </c>
      <c r="G21" s="5"/>
      <c r="H21" s="25"/>
    </row>
    <row r="22" spans="1:8" ht="34.5" thickBot="1" x14ac:dyDescent="0.3">
      <c r="A22" s="1" t="s">
        <v>241</v>
      </c>
      <c r="B22" s="2" t="s">
        <v>232</v>
      </c>
      <c r="C22" s="3">
        <v>1440</v>
      </c>
      <c r="D22" s="4">
        <v>6</v>
      </c>
      <c r="E22" s="49">
        <f t="shared" si="0"/>
        <v>8640</v>
      </c>
      <c r="F22" s="12" t="s">
        <v>50</v>
      </c>
      <c r="G22" s="5"/>
      <c r="H22" s="25"/>
    </row>
    <row r="23" spans="1:8" ht="34.5" thickBot="1" x14ac:dyDescent="0.3">
      <c r="A23" s="1" t="s">
        <v>242</v>
      </c>
      <c r="B23" s="2"/>
      <c r="C23" s="3"/>
      <c r="D23" s="4"/>
      <c r="E23" s="49">
        <v>3000</v>
      </c>
      <c r="F23" s="12" t="s">
        <v>55</v>
      </c>
      <c r="G23" s="5"/>
      <c r="H23" s="25"/>
    </row>
    <row r="24" spans="1:8" ht="34.5" thickBot="1" x14ac:dyDescent="0.3">
      <c r="A24" s="1" t="s">
        <v>165</v>
      </c>
      <c r="B24" s="2"/>
      <c r="C24" s="3"/>
      <c r="D24" s="4"/>
      <c r="E24" s="49">
        <v>8500</v>
      </c>
      <c r="F24" s="12" t="s">
        <v>51</v>
      </c>
      <c r="G24" s="5"/>
      <c r="H24" s="25" t="s">
        <v>243</v>
      </c>
    </row>
    <row r="25" spans="1:8" ht="57" thickBot="1" x14ac:dyDescent="0.3">
      <c r="A25" s="1" t="s">
        <v>244</v>
      </c>
      <c r="B25" s="2"/>
      <c r="C25" s="3"/>
      <c r="D25" s="4"/>
      <c r="E25" s="49">
        <v>4140</v>
      </c>
      <c r="F25" s="12" t="s">
        <v>57</v>
      </c>
      <c r="G25" s="5"/>
      <c r="H25" s="25" t="s">
        <v>245</v>
      </c>
    </row>
    <row r="26" spans="1:8" ht="15.75" thickBot="1" x14ac:dyDescent="0.3">
      <c r="A26" s="517" t="s">
        <v>3</v>
      </c>
      <c r="B26" s="518"/>
      <c r="C26" s="518"/>
      <c r="D26" s="519"/>
      <c r="E26" s="86">
        <f>SUM(E13:E25)</f>
        <v>100000</v>
      </c>
      <c r="F26" s="12"/>
      <c r="G26" s="87"/>
      <c r="H26" s="25" t="str">
        <f>IF(F26=0," ",VLOOKUP(F26,[12]Sheet1!$A$1:$B$8,2,FALSE))</f>
        <v xml:space="preserve"> </v>
      </c>
    </row>
    <row r="27" spans="1:8" ht="15.75" thickBot="1" x14ac:dyDescent="0.3">
      <c r="A27" s="520" t="s">
        <v>210</v>
      </c>
      <c r="B27" s="521"/>
      <c r="C27" s="521"/>
      <c r="D27" s="521"/>
      <c r="E27" s="521"/>
      <c r="F27" s="521"/>
      <c r="G27" s="522"/>
      <c r="H27" s="37"/>
    </row>
    <row r="28" spans="1:8" ht="45.75" thickBot="1" x14ac:dyDescent="0.3">
      <c r="A28" s="1" t="s">
        <v>246</v>
      </c>
      <c r="B28" s="3" t="s">
        <v>247</v>
      </c>
      <c r="C28" s="3">
        <v>4</v>
      </c>
      <c r="D28" s="4">
        <v>80000</v>
      </c>
      <c r="E28" s="49">
        <f>C28*D28</f>
        <v>320000</v>
      </c>
      <c r="F28" s="12" t="s">
        <v>53</v>
      </c>
      <c r="G28" s="93"/>
      <c r="H28" s="25" t="str">
        <f>IF(F28=0," ",VLOOKUP(F28,[12]Sheet1!$A$1:$B$8,2,FALSE))</f>
        <v xml:space="preserve">Refer to a document confirming that the PO determined the equipment as integral and necessary for achieving the outcomes of the PDP. </v>
      </c>
    </row>
    <row r="29" spans="1:8" ht="34.5" thickBot="1" x14ac:dyDescent="0.3">
      <c r="A29" s="1" t="s">
        <v>248</v>
      </c>
      <c r="B29" s="3" t="s">
        <v>247</v>
      </c>
      <c r="C29" s="3">
        <v>1</v>
      </c>
      <c r="D29" s="4">
        <v>40400</v>
      </c>
      <c r="E29" s="49">
        <f>C29*D29</f>
        <v>40400</v>
      </c>
      <c r="F29" s="12" t="s">
        <v>249</v>
      </c>
      <c r="G29" s="93"/>
      <c r="H29" s="25"/>
    </row>
    <row r="30" spans="1:8" ht="34.5" thickBot="1" x14ac:dyDescent="0.3">
      <c r="A30" s="1" t="s">
        <v>250</v>
      </c>
      <c r="B30" s="3" t="s">
        <v>247</v>
      </c>
      <c r="C30" s="3">
        <v>9</v>
      </c>
      <c r="D30" s="4">
        <v>24000</v>
      </c>
      <c r="E30" s="49">
        <f>D30*C30</f>
        <v>216000</v>
      </c>
      <c r="F30" s="12" t="s">
        <v>251</v>
      </c>
      <c r="G30" s="93"/>
      <c r="H30" s="25"/>
    </row>
    <row r="31" spans="1:8" ht="34.5" thickBot="1" x14ac:dyDescent="0.3">
      <c r="A31" s="1" t="s">
        <v>252</v>
      </c>
      <c r="B31" s="3" t="s">
        <v>247</v>
      </c>
      <c r="C31" s="3">
        <v>4</v>
      </c>
      <c r="D31" s="4">
        <v>60000</v>
      </c>
      <c r="E31" s="49">
        <f t="shared" ref="E31:E41" si="1">D31*C31</f>
        <v>240000</v>
      </c>
      <c r="F31" s="12" t="s">
        <v>253</v>
      </c>
      <c r="G31" s="93"/>
      <c r="H31" s="25"/>
    </row>
    <row r="32" spans="1:8" ht="34.5" thickBot="1" x14ac:dyDescent="0.3">
      <c r="A32" s="1" t="s">
        <v>254</v>
      </c>
      <c r="B32" s="3" t="s">
        <v>247</v>
      </c>
      <c r="C32" s="3">
        <v>5</v>
      </c>
      <c r="D32" s="4">
        <v>2000</v>
      </c>
      <c r="E32" s="49">
        <f t="shared" si="1"/>
        <v>10000</v>
      </c>
      <c r="F32" s="12" t="s">
        <v>255</v>
      </c>
      <c r="G32" s="93"/>
      <c r="H32" s="25"/>
    </row>
    <row r="33" spans="1:8" ht="34.5" thickBot="1" x14ac:dyDescent="0.3">
      <c r="A33" s="1" t="s">
        <v>256</v>
      </c>
      <c r="B33" s="3" t="s">
        <v>247</v>
      </c>
      <c r="C33" s="3">
        <v>5</v>
      </c>
      <c r="D33" s="4">
        <v>1000</v>
      </c>
      <c r="E33" s="49">
        <f t="shared" si="1"/>
        <v>5000</v>
      </c>
      <c r="F33" s="12" t="s">
        <v>257</v>
      </c>
      <c r="G33" s="93"/>
      <c r="H33" s="25"/>
    </row>
    <row r="34" spans="1:8" ht="34.5" thickBot="1" x14ac:dyDescent="0.3">
      <c r="A34" s="1" t="s">
        <v>258</v>
      </c>
      <c r="B34" s="3" t="s">
        <v>247</v>
      </c>
      <c r="C34" s="3">
        <v>4</v>
      </c>
      <c r="D34" s="4">
        <v>18000</v>
      </c>
      <c r="E34" s="49">
        <f t="shared" si="1"/>
        <v>72000</v>
      </c>
      <c r="F34" s="12" t="s">
        <v>259</v>
      </c>
      <c r="G34" s="93"/>
      <c r="H34" s="25"/>
    </row>
    <row r="35" spans="1:8" ht="34.5" thickBot="1" x14ac:dyDescent="0.3">
      <c r="A35" s="1" t="s">
        <v>260</v>
      </c>
      <c r="B35" s="3" t="s">
        <v>247</v>
      </c>
      <c r="C35" s="3">
        <v>5</v>
      </c>
      <c r="D35" s="4">
        <v>3600</v>
      </c>
      <c r="E35" s="49">
        <f t="shared" si="1"/>
        <v>18000</v>
      </c>
      <c r="F35" s="12" t="s">
        <v>261</v>
      </c>
      <c r="G35" s="93"/>
      <c r="H35" s="25"/>
    </row>
    <row r="36" spans="1:8" ht="45.75" thickBot="1" x14ac:dyDescent="0.3">
      <c r="A36" s="1" t="s">
        <v>262</v>
      </c>
      <c r="B36" s="3" t="s">
        <v>247</v>
      </c>
      <c r="C36" s="3">
        <v>5</v>
      </c>
      <c r="D36" s="4">
        <v>20000</v>
      </c>
      <c r="E36" s="49">
        <f t="shared" si="1"/>
        <v>100000</v>
      </c>
      <c r="F36" s="12" t="s">
        <v>263</v>
      </c>
      <c r="G36" s="93"/>
      <c r="H36" s="25"/>
    </row>
    <row r="37" spans="1:8" ht="34.5" thickBot="1" x14ac:dyDescent="0.3">
      <c r="A37" s="1" t="s">
        <v>264</v>
      </c>
      <c r="B37" s="3" t="s">
        <v>247</v>
      </c>
      <c r="C37" s="3">
        <v>3</v>
      </c>
      <c r="D37" s="4">
        <v>50000</v>
      </c>
      <c r="E37" s="49">
        <f t="shared" si="1"/>
        <v>150000</v>
      </c>
      <c r="F37" s="12" t="s">
        <v>265</v>
      </c>
      <c r="G37" s="93"/>
      <c r="H37" s="25"/>
    </row>
    <row r="38" spans="1:8" ht="34.5" thickBot="1" x14ac:dyDescent="0.3">
      <c r="A38" s="1" t="s">
        <v>266</v>
      </c>
      <c r="B38" s="3" t="s">
        <v>247</v>
      </c>
      <c r="C38" s="3">
        <v>7</v>
      </c>
      <c r="D38" s="4">
        <v>5800</v>
      </c>
      <c r="E38" s="49">
        <f t="shared" si="1"/>
        <v>40600</v>
      </c>
      <c r="F38" s="12" t="s">
        <v>267</v>
      </c>
      <c r="G38" s="93"/>
      <c r="H38" s="25"/>
    </row>
    <row r="39" spans="1:8" ht="34.5" thickBot="1" x14ac:dyDescent="0.3">
      <c r="A39" s="1" t="s">
        <v>268</v>
      </c>
      <c r="B39" s="3" t="s">
        <v>247</v>
      </c>
      <c r="C39" s="3">
        <v>5</v>
      </c>
      <c r="D39" s="4">
        <v>7600</v>
      </c>
      <c r="E39" s="49">
        <f>C39*D39</f>
        <v>38000</v>
      </c>
      <c r="F39" s="12" t="s">
        <v>269</v>
      </c>
      <c r="G39" s="93"/>
      <c r="H39" s="25"/>
    </row>
    <row r="40" spans="1:8" ht="34.5" thickBot="1" x14ac:dyDescent="0.3">
      <c r="A40" s="1" t="s">
        <v>270</v>
      </c>
      <c r="B40" s="3" t="s">
        <v>247</v>
      </c>
      <c r="C40" s="3">
        <v>5</v>
      </c>
      <c r="D40" s="4">
        <v>18000</v>
      </c>
      <c r="E40" s="49">
        <f t="shared" si="1"/>
        <v>90000</v>
      </c>
      <c r="F40" s="12" t="s">
        <v>271</v>
      </c>
      <c r="G40" s="93"/>
      <c r="H40" s="25"/>
    </row>
    <row r="41" spans="1:8" ht="34.5" thickBot="1" x14ac:dyDescent="0.3">
      <c r="A41" s="1" t="s">
        <v>272</v>
      </c>
      <c r="B41" s="3" t="s">
        <v>247</v>
      </c>
      <c r="C41" s="3">
        <v>5</v>
      </c>
      <c r="D41" s="4">
        <v>12000</v>
      </c>
      <c r="E41" s="49">
        <f t="shared" si="1"/>
        <v>60000</v>
      </c>
      <c r="F41" s="12" t="s">
        <v>273</v>
      </c>
      <c r="G41" s="93"/>
      <c r="H41" s="25"/>
    </row>
    <row r="42" spans="1:8" ht="15.75" thickBot="1" x14ac:dyDescent="0.3">
      <c r="A42" s="517" t="s">
        <v>4</v>
      </c>
      <c r="B42" s="518"/>
      <c r="C42" s="518"/>
      <c r="D42" s="523"/>
      <c r="E42" s="86">
        <f>SUM(E28:E41)</f>
        <v>1400000</v>
      </c>
      <c r="F42" s="12"/>
      <c r="G42" s="93"/>
      <c r="H42" s="25" t="str">
        <f>IF(F42=0," ",VLOOKUP(F42,[12]Sheet1!$A$1:$B$8,2,FALSE))</f>
        <v xml:space="preserve"> </v>
      </c>
    </row>
    <row r="43" spans="1:8" ht="15.75" thickBot="1" x14ac:dyDescent="0.3">
      <c r="A43" s="520" t="s">
        <v>167</v>
      </c>
      <c r="B43" s="521"/>
      <c r="C43" s="521"/>
      <c r="D43" s="521"/>
      <c r="E43" s="521"/>
      <c r="F43" s="521"/>
      <c r="G43" s="522"/>
      <c r="H43" s="37"/>
    </row>
    <row r="44" spans="1:8" ht="57" thickBot="1" x14ac:dyDescent="0.3">
      <c r="A44" s="1" t="s">
        <v>274</v>
      </c>
      <c r="B44" s="2"/>
      <c r="C44" s="3"/>
      <c r="D44" s="4"/>
      <c r="E44" s="49">
        <v>410000</v>
      </c>
      <c r="F44" s="12" t="s">
        <v>57</v>
      </c>
      <c r="G44" s="93"/>
      <c r="H44" s="25" t="s">
        <v>275</v>
      </c>
    </row>
    <row r="45" spans="1:8" ht="15.75" thickBot="1" x14ac:dyDescent="0.3">
      <c r="A45" s="517" t="s">
        <v>5</v>
      </c>
      <c r="B45" s="518"/>
      <c r="C45" s="518"/>
      <c r="D45" s="523"/>
      <c r="E45" s="86">
        <v>410000</v>
      </c>
      <c r="F45" s="12"/>
      <c r="G45" s="93"/>
      <c r="H45" s="25" t="str">
        <f>IF(F45=0," ",VLOOKUP(F45,[12]Sheet1!$A$1:$B$8,2,FALSE))</f>
        <v xml:space="preserve"> </v>
      </c>
    </row>
    <row r="46" spans="1:8" ht="15.75" thickBot="1" x14ac:dyDescent="0.3">
      <c r="A46" s="520" t="s">
        <v>169</v>
      </c>
      <c r="B46" s="521"/>
      <c r="C46" s="521"/>
      <c r="D46" s="521"/>
      <c r="E46" s="521"/>
      <c r="F46" s="521"/>
      <c r="G46" s="522"/>
      <c r="H46" s="37"/>
    </row>
    <row r="47" spans="1:8" ht="57" thickBot="1" x14ac:dyDescent="0.3">
      <c r="A47" s="1" t="s">
        <v>276</v>
      </c>
      <c r="B47" s="3"/>
      <c r="C47" s="3">
        <v>1</v>
      </c>
      <c r="D47" s="49">
        <v>45000</v>
      </c>
      <c r="E47" s="49">
        <v>45000</v>
      </c>
      <c r="F47" s="12" t="s">
        <v>57</v>
      </c>
      <c r="G47" s="93"/>
      <c r="H47" s="25" t="s">
        <v>277</v>
      </c>
    </row>
    <row r="48" spans="1:8" ht="15.75" thickBot="1" x14ac:dyDescent="0.3">
      <c r="A48" s="517" t="s">
        <v>6</v>
      </c>
      <c r="B48" s="518"/>
      <c r="C48" s="518"/>
      <c r="D48" s="523"/>
      <c r="E48" s="49">
        <v>45000</v>
      </c>
      <c r="F48" s="12"/>
      <c r="G48" s="93"/>
      <c r="H48" s="25" t="str">
        <f>IF(F48=0," ",VLOOKUP(F48,[12]Sheet1!$A$1:$B$8,2,FALSE))</f>
        <v xml:space="preserve"> </v>
      </c>
    </row>
    <row r="49" spans="1:10" ht="15.75" thickBot="1" x14ac:dyDescent="0.3">
      <c r="A49" s="79" t="s">
        <v>278</v>
      </c>
      <c r="B49" s="80"/>
      <c r="C49" s="80"/>
      <c r="D49" s="80"/>
      <c r="E49" s="80"/>
      <c r="F49" s="80"/>
      <c r="G49" s="81"/>
      <c r="H49" s="37"/>
    </row>
    <row r="50" spans="1:10" ht="57" thickBot="1" x14ac:dyDescent="0.3">
      <c r="A50" s="1" t="s">
        <v>279</v>
      </c>
      <c r="B50" s="2"/>
      <c r="C50" s="3"/>
      <c r="D50" s="4"/>
      <c r="E50" s="49">
        <v>100000</v>
      </c>
      <c r="F50" s="12" t="s">
        <v>57</v>
      </c>
      <c r="G50" s="93"/>
      <c r="H50" s="25" t="s">
        <v>280</v>
      </c>
    </row>
    <row r="51" spans="1:10" ht="15.75" thickBot="1" x14ac:dyDescent="0.3">
      <c r="A51" s="517" t="s">
        <v>123</v>
      </c>
      <c r="B51" s="518"/>
      <c r="C51" s="518"/>
      <c r="D51" s="519"/>
      <c r="E51" s="49">
        <v>100000</v>
      </c>
      <c r="F51" s="12"/>
      <c r="G51" s="93"/>
      <c r="H51" s="104"/>
    </row>
    <row r="52" spans="1:10" ht="15.75" thickBot="1" x14ac:dyDescent="0.3">
      <c r="A52" s="526" t="s">
        <v>11</v>
      </c>
      <c r="B52" s="527"/>
      <c r="C52" s="527"/>
      <c r="D52" s="528"/>
      <c r="E52" s="53">
        <v>2055000</v>
      </c>
      <c r="F52" s="93"/>
      <c r="G52" s="93"/>
      <c r="H52" s="38"/>
    </row>
    <row r="53" spans="1:10" ht="15.75" thickBot="1" x14ac:dyDescent="0.3">
      <c r="A53" s="532" t="s">
        <v>12</v>
      </c>
      <c r="B53" s="564"/>
      <c r="C53" s="564"/>
      <c r="D53" s="564"/>
      <c r="E53" s="564"/>
      <c r="F53" s="564"/>
      <c r="G53" s="565"/>
      <c r="H53" s="39"/>
    </row>
    <row r="54" spans="1:10" ht="23.25" thickBot="1" x14ac:dyDescent="0.3">
      <c r="A54" s="526" t="s">
        <v>13</v>
      </c>
      <c r="B54" s="527"/>
      <c r="C54" s="527"/>
      <c r="D54" s="528"/>
      <c r="E54" s="94">
        <v>45000</v>
      </c>
      <c r="F54" s="93"/>
      <c r="G54" s="93"/>
      <c r="H54" s="40" t="s">
        <v>40</v>
      </c>
    </row>
    <row r="55" spans="1:10" ht="15.75" thickBot="1" x14ac:dyDescent="0.3">
      <c r="A55" s="529" t="s">
        <v>22</v>
      </c>
      <c r="B55" s="530"/>
      <c r="C55" s="530"/>
      <c r="D55" s="531"/>
      <c r="E55" s="95">
        <v>2100000</v>
      </c>
      <c r="F55" s="93"/>
      <c r="G55" s="93"/>
      <c r="H55" s="41"/>
    </row>
    <row r="56" spans="1:10" ht="15.75" thickBot="1" x14ac:dyDescent="0.3">
      <c r="A56" s="15"/>
      <c r="B56" s="15"/>
      <c r="C56" s="15"/>
      <c r="D56" s="15"/>
      <c r="E56" s="15"/>
      <c r="F56" s="15"/>
      <c r="G56" s="15"/>
      <c r="H56" s="29"/>
    </row>
    <row r="57" spans="1:10" ht="15.75" thickBot="1" x14ac:dyDescent="0.3">
      <c r="A57" s="486" t="s">
        <v>19</v>
      </c>
      <c r="B57" s="486"/>
      <c r="C57" s="486"/>
      <c r="D57" s="486"/>
      <c r="E57" s="96">
        <v>100000</v>
      </c>
      <c r="F57" s="15"/>
      <c r="G57" s="15"/>
      <c r="H57" s="29"/>
      <c r="J57" s="283">
        <f>E54/E52</f>
        <v>2.1897810218978103E-2</v>
      </c>
    </row>
    <row r="58" spans="1:10" ht="15.75" thickBot="1" x14ac:dyDescent="0.3">
      <c r="A58" s="486" t="s">
        <v>20</v>
      </c>
      <c r="B58" s="486"/>
      <c r="C58" s="486"/>
      <c r="D58" s="486"/>
      <c r="E58" s="94">
        <v>1955000</v>
      </c>
      <c r="F58" s="15"/>
      <c r="G58" s="15"/>
      <c r="H58" s="29"/>
    </row>
    <row r="59" spans="1:10" x14ac:dyDescent="0.25">
      <c r="A59" s="15"/>
      <c r="B59" s="15"/>
      <c r="C59" s="15"/>
      <c r="D59" s="15"/>
      <c r="E59" s="15"/>
      <c r="F59" s="15"/>
      <c r="G59" s="15"/>
      <c r="H59" s="29"/>
    </row>
    <row r="60" spans="1:10" ht="15.75" thickBot="1" x14ac:dyDescent="0.3">
      <c r="A60" s="15"/>
      <c r="B60" s="15"/>
      <c r="C60" s="15"/>
      <c r="D60" s="15"/>
      <c r="E60" s="15"/>
      <c r="F60" s="15"/>
      <c r="G60" s="15"/>
      <c r="H60" s="29"/>
    </row>
    <row r="61" spans="1:10" ht="23.25" thickBot="1" x14ac:dyDescent="0.3">
      <c r="A61" s="21" t="s">
        <v>35</v>
      </c>
      <c r="B61" s="19" t="s">
        <v>27</v>
      </c>
      <c r="C61" s="19" t="s">
        <v>28</v>
      </c>
      <c r="D61" s="19" t="s">
        <v>29</v>
      </c>
      <c r="E61" s="19" t="s">
        <v>30</v>
      </c>
      <c r="F61" s="19" t="s">
        <v>230</v>
      </c>
      <c r="G61" s="19" t="s">
        <v>25</v>
      </c>
      <c r="H61" s="42" t="s">
        <v>26</v>
      </c>
    </row>
    <row r="62" spans="1:10" ht="15.75" thickBot="1" x14ac:dyDescent="0.3">
      <c r="A62" s="79" t="s">
        <v>50</v>
      </c>
      <c r="B62" s="156">
        <v>69480</v>
      </c>
      <c r="C62" s="157">
        <v>14880</v>
      </c>
      <c r="D62" s="158"/>
      <c r="E62" s="159"/>
      <c r="F62" s="159"/>
      <c r="G62" s="50">
        <v>84360</v>
      </c>
      <c r="H62" s="160">
        <f>G62*100/2100000</f>
        <v>4.0171428571428569</v>
      </c>
    </row>
    <row r="63" spans="1:10" ht="23.25" thickBot="1" x14ac:dyDescent="0.3">
      <c r="A63" s="79" t="s">
        <v>51</v>
      </c>
      <c r="B63" s="156">
        <v>8500</v>
      </c>
      <c r="C63" s="161"/>
      <c r="D63" s="158"/>
      <c r="E63" s="159"/>
      <c r="F63" s="159"/>
      <c r="G63" s="50">
        <v>8500</v>
      </c>
      <c r="H63" s="160">
        <f t="shared" ref="H63:H70" si="2">G63*100/2100000</f>
        <v>0.40476190476190477</v>
      </c>
    </row>
    <row r="64" spans="1:10" ht="23.25" thickBot="1" x14ac:dyDescent="0.3">
      <c r="A64" s="79" t="s">
        <v>52</v>
      </c>
      <c r="B64" s="162"/>
      <c r="C64" s="161"/>
      <c r="D64" s="158"/>
      <c r="E64" s="159"/>
      <c r="F64" s="159"/>
      <c r="G64" s="12"/>
      <c r="H64" s="160">
        <f t="shared" si="2"/>
        <v>0</v>
      </c>
    </row>
    <row r="65" spans="1:8" ht="23.25" thickBot="1" x14ac:dyDescent="0.3">
      <c r="A65" s="79" t="s">
        <v>53</v>
      </c>
      <c r="B65" s="162"/>
      <c r="C65" s="163">
        <v>1400000</v>
      </c>
      <c r="D65" s="158"/>
      <c r="E65" s="159"/>
      <c r="F65" s="159"/>
      <c r="G65" s="50">
        <v>1400000</v>
      </c>
      <c r="H65" s="160">
        <f t="shared" si="2"/>
        <v>66.666666666666671</v>
      </c>
    </row>
    <row r="66" spans="1:8" ht="23.25" thickBot="1" x14ac:dyDescent="0.3">
      <c r="A66" s="79" t="s">
        <v>54</v>
      </c>
      <c r="B66" s="162"/>
      <c r="C66" s="161"/>
      <c r="D66" s="158"/>
      <c r="E66" s="159"/>
      <c r="F66" s="159"/>
      <c r="G66" s="12"/>
      <c r="H66" s="160">
        <f t="shared" si="2"/>
        <v>0</v>
      </c>
    </row>
    <row r="67" spans="1:8" ht="15.75" thickBot="1" x14ac:dyDescent="0.3">
      <c r="A67" s="79" t="s">
        <v>55</v>
      </c>
      <c r="B67" s="156">
        <v>3000</v>
      </c>
      <c r="C67" s="161"/>
      <c r="D67" s="158"/>
      <c r="E67" s="159"/>
      <c r="F67" s="159"/>
      <c r="G67" s="50">
        <v>3000</v>
      </c>
      <c r="H67" s="160">
        <f t="shared" si="2"/>
        <v>0.14285714285714285</v>
      </c>
    </row>
    <row r="68" spans="1:8" ht="23.25" thickBot="1" x14ac:dyDescent="0.3">
      <c r="A68" s="79" t="s">
        <v>56</v>
      </c>
      <c r="B68" s="156"/>
      <c r="C68" s="164"/>
      <c r="D68" s="158"/>
      <c r="E68" s="159"/>
      <c r="F68" s="159"/>
      <c r="G68" s="12"/>
      <c r="H68" s="160">
        <f t="shared" si="2"/>
        <v>0</v>
      </c>
    </row>
    <row r="69" spans="1:8" ht="23.25" thickBot="1" x14ac:dyDescent="0.3">
      <c r="A69" s="79" t="s">
        <v>57</v>
      </c>
      <c r="B69" s="156">
        <v>4140</v>
      </c>
      <c r="C69" s="161"/>
      <c r="D69" s="165">
        <v>410000</v>
      </c>
      <c r="E69" s="166">
        <v>45000</v>
      </c>
      <c r="F69" s="166">
        <v>100000</v>
      </c>
      <c r="G69" s="50">
        <v>559140</v>
      </c>
      <c r="H69" s="160">
        <f t="shared" si="2"/>
        <v>26.625714285714285</v>
      </c>
    </row>
    <row r="70" spans="1:8" ht="15.75" thickBot="1" x14ac:dyDescent="0.3">
      <c r="A70" s="79" t="s">
        <v>32</v>
      </c>
      <c r="B70" s="162"/>
      <c r="C70" s="161"/>
      <c r="D70" s="158"/>
      <c r="E70" s="159"/>
      <c r="F70" s="159"/>
      <c r="G70" s="50">
        <v>45000</v>
      </c>
      <c r="H70" s="160">
        <f t="shared" si="2"/>
        <v>2.1428571428571428</v>
      </c>
    </row>
    <row r="71" spans="1:8" ht="15.75" thickBot="1" x14ac:dyDescent="0.3">
      <c r="A71" s="19" t="s">
        <v>33</v>
      </c>
      <c r="B71" s="156">
        <f>SUM(B62:B70)</f>
        <v>85120</v>
      </c>
      <c r="C71" s="156">
        <f t="shared" ref="C71:F71" si="3">SUM(C62:C70)</f>
        <v>1414880</v>
      </c>
      <c r="D71" s="156">
        <f t="shared" si="3"/>
        <v>410000</v>
      </c>
      <c r="E71" s="156">
        <f t="shared" si="3"/>
        <v>45000</v>
      </c>
      <c r="F71" s="156">
        <f t="shared" si="3"/>
        <v>100000</v>
      </c>
      <c r="G71" s="50">
        <f>SUM(G62:G70)</f>
        <v>2100000</v>
      </c>
      <c r="H71" s="43"/>
    </row>
    <row r="72" spans="1:8" ht="15.75" thickBot="1" x14ac:dyDescent="0.3">
      <c r="A72" s="19" t="s">
        <v>34</v>
      </c>
      <c r="B72" s="167">
        <f>B71*100/2100000</f>
        <v>4.0533333333333337</v>
      </c>
      <c r="C72" s="167">
        <f t="shared" ref="C72:F72" si="4">C71*100/2100000</f>
        <v>67.375238095238089</v>
      </c>
      <c r="D72" s="167">
        <f t="shared" si="4"/>
        <v>19.523809523809526</v>
      </c>
      <c r="E72" s="167">
        <f t="shared" si="4"/>
        <v>2.1428571428571428</v>
      </c>
      <c r="F72" s="167">
        <f t="shared" si="4"/>
        <v>4.7619047619047619</v>
      </c>
      <c r="G72" s="167">
        <f>SUM(B72:F72)</f>
        <v>97.857142857142833</v>
      </c>
      <c r="H72" s="43"/>
    </row>
    <row r="78" spans="1:8" x14ac:dyDescent="0.25">
      <c r="A78" s="292" t="s">
        <v>538</v>
      </c>
      <c r="B78" s="294">
        <f>G62+G63+G69</f>
        <v>652000</v>
      </c>
    </row>
    <row r="79" spans="1:8" x14ac:dyDescent="0.25">
      <c r="A79" s="292" t="s">
        <v>539</v>
      </c>
      <c r="B79" s="294">
        <f>ROUND(B78*2.19%,2)</f>
        <v>14278.8</v>
      </c>
    </row>
    <row r="80" spans="1:8" x14ac:dyDescent="0.25">
      <c r="A80" s="293" t="s">
        <v>34</v>
      </c>
      <c r="B80" s="295">
        <f>(B78+B79)/E55</f>
        <v>0.31727561904761908</v>
      </c>
    </row>
  </sheetData>
  <mergeCells count="22">
    <mergeCell ref="A43:G43"/>
    <mergeCell ref="B3:G3"/>
    <mergeCell ref="B4:G4"/>
    <mergeCell ref="B5:G5"/>
    <mergeCell ref="B6:G6"/>
    <mergeCell ref="B7:G7"/>
    <mergeCell ref="B8:G8"/>
    <mergeCell ref="A11:G11"/>
    <mergeCell ref="A12:G12"/>
    <mergeCell ref="A26:D26"/>
    <mergeCell ref="A27:G27"/>
    <mergeCell ref="A42:D42"/>
    <mergeCell ref="A54:D54"/>
    <mergeCell ref="A55:D55"/>
    <mergeCell ref="A57:D57"/>
    <mergeCell ref="A58:D58"/>
    <mergeCell ref="A45:D45"/>
    <mergeCell ref="A46:G46"/>
    <mergeCell ref="A48:D48"/>
    <mergeCell ref="A51:D51"/>
    <mergeCell ref="A52:D52"/>
    <mergeCell ref="A53:G5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[12]Sheet1!#REF!</xm:f>
          </x14:formula1>
          <xm:sqref>F28:F42 F50:F51 F47:F48 F13:F26 F44:F45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workbookViewId="0">
      <selection activeCell="B77" sqref="B77"/>
    </sheetView>
  </sheetViews>
  <sheetFormatPr defaultRowHeight="15" x14ac:dyDescent="0.25"/>
  <cols>
    <col min="1" max="1" width="34.85546875" customWidth="1"/>
    <col min="2" max="2" width="11.42578125" bestFit="1" customWidth="1"/>
    <col min="3" max="3" width="6.42578125" customWidth="1"/>
    <col min="4" max="4" width="9.5703125" customWidth="1"/>
    <col min="5" max="5" width="10.5703125" customWidth="1"/>
    <col min="6" max="6" width="9" customWidth="1"/>
    <col min="7" max="7" width="25.140625" customWidth="1"/>
    <col min="8" max="8" width="11.42578125" bestFit="1" customWidth="1"/>
    <col min="9" max="9" width="11" customWidth="1"/>
    <col min="10" max="10" width="9.140625" customWidth="1"/>
  </cols>
  <sheetData>
    <row r="1" spans="1:11" x14ac:dyDescent="0.25">
      <c r="A1" s="13" t="s">
        <v>17</v>
      </c>
      <c r="B1" s="14"/>
      <c r="C1" s="14"/>
      <c r="D1" s="15"/>
      <c r="E1" s="15"/>
      <c r="F1" s="15"/>
      <c r="G1" s="15"/>
      <c r="H1" s="29"/>
      <c r="I1" s="15"/>
    </row>
    <row r="2" spans="1:11" ht="15.75" thickBot="1" x14ac:dyDescent="0.3">
      <c r="A2" s="15"/>
      <c r="B2" s="15"/>
      <c r="C2" s="15"/>
      <c r="D2" s="15"/>
      <c r="E2" s="15"/>
      <c r="F2" s="15"/>
      <c r="G2" s="15"/>
      <c r="H2" s="29"/>
      <c r="I2" s="15"/>
    </row>
    <row r="3" spans="1:11" ht="15.75" thickBot="1" x14ac:dyDescent="0.3">
      <c r="A3" s="7" t="s">
        <v>7</v>
      </c>
      <c r="B3" s="499" t="s">
        <v>557</v>
      </c>
      <c r="C3" s="500"/>
      <c r="D3" s="500"/>
      <c r="E3" s="500"/>
      <c r="F3" s="500"/>
      <c r="G3" s="501"/>
      <c r="H3" s="30"/>
      <c r="I3" s="15"/>
    </row>
    <row r="4" spans="1:11" ht="27.75" customHeight="1" thickBot="1" x14ac:dyDescent="0.3">
      <c r="A4" s="8" t="s">
        <v>15</v>
      </c>
      <c r="B4" s="566" t="s">
        <v>281</v>
      </c>
      <c r="C4" s="567"/>
      <c r="D4" s="567"/>
      <c r="E4" s="567"/>
      <c r="F4" s="567"/>
      <c r="G4" s="568"/>
      <c r="H4" s="30"/>
      <c r="I4" s="15"/>
    </row>
    <row r="5" spans="1:11" ht="15.75" thickBot="1" x14ac:dyDescent="0.3">
      <c r="A5" s="8" t="s">
        <v>8</v>
      </c>
      <c r="B5" s="499" t="s">
        <v>282</v>
      </c>
      <c r="C5" s="500"/>
      <c r="D5" s="500"/>
      <c r="E5" s="500"/>
      <c r="F5" s="500"/>
      <c r="G5" s="501"/>
      <c r="H5" s="30"/>
      <c r="I5" s="15"/>
    </row>
    <row r="6" spans="1:11" ht="15.75" thickBot="1" x14ac:dyDescent="0.3">
      <c r="A6" s="8" t="s">
        <v>16</v>
      </c>
      <c r="B6" s="585">
        <v>941506</v>
      </c>
      <c r="C6" s="586"/>
      <c r="D6" s="586"/>
      <c r="E6" s="586"/>
      <c r="F6" s="586"/>
      <c r="G6" s="587"/>
      <c r="H6" s="31"/>
      <c r="I6" s="15"/>
    </row>
    <row r="7" spans="1:11" ht="15.75" thickBot="1" x14ac:dyDescent="0.3">
      <c r="A7" s="8" t="s">
        <v>2</v>
      </c>
      <c r="B7" s="505">
        <v>1</v>
      </c>
      <c r="C7" s="506"/>
      <c r="D7" s="506"/>
      <c r="E7" s="506"/>
      <c r="F7" s="506"/>
      <c r="G7" s="507"/>
      <c r="H7" s="32"/>
      <c r="I7" s="15"/>
    </row>
    <row r="8" spans="1:11" ht="15.75" customHeight="1" thickBot="1" x14ac:dyDescent="0.3">
      <c r="A8" s="8" t="s">
        <v>9</v>
      </c>
      <c r="B8" s="508" t="s">
        <v>60</v>
      </c>
      <c r="C8" s="509"/>
      <c r="D8" s="509"/>
      <c r="E8" s="509"/>
      <c r="F8" s="509"/>
      <c r="G8" s="510"/>
      <c r="H8" s="32"/>
      <c r="I8" s="15"/>
      <c r="K8" s="433"/>
    </row>
    <row r="9" spans="1:11" ht="15.75" thickBot="1" x14ac:dyDescent="0.3">
      <c r="A9" s="23"/>
      <c r="B9" s="24"/>
      <c r="C9" s="22"/>
      <c r="D9" s="22"/>
      <c r="E9" s="22"/>
      <c r="F9" s="22"/>
      <c r="G9" s="22"/>
      <c r="H9" s="33"/>
      <c r="I9" s="15"/>
    </row>
    <row r="10" spans="1:11" ht="34.5" thickBot="1" x14ac:dyDescent="0.3">
      <c r="A10" s="28"/>
      <c r="B10" s="26" t="s">
        <v>0</v>
      </c>
      <c r="C10" s="26" t="s">
        <v>14</v>
      </c>
      <c r="D10" s="26" t="s">
        <v>23</v>
      </c>
      <c r="E10" s="26" t="s">
        <v>18</v>
      </c>
      <c r="F10" s="26" t="s">
        <v>10</v>
      </c>
      <c r="G10" s="27" t="s">
        <v>1</v>
      </c>
      <c r="H10" s="34" t="s">
        <v>36</v>
      </c>
      <c r="I10" s="15"/>
    </row>
    <row r="11" spans="1:11" ht="15.75" thickBot="1" x14ac:dyDescent="0.3">
      <c r="A11" s="511" t="s">
        <v>21</v>
      </c>
      <c r="B11" s="512"/>
      <c r="C11" s="512"/>
      <c r="D11" s="512"/>
      <c r="E11" s="512"/>
      <c r="F11" s="512"/>
      <c r="G11" s="513"/>
      <c r="H11" s="35"/>
      <c r="I11" s="15"/>
    </row>
    <row r="12" spans="1:11" ht="15.75" thickBot="1" x14ac:dyDescent="0.3">
      <c r="A12" s="514" t="s">
        <v>24</v>
      </c>
      <c r="B12" s="515"/>
      <c r="C12" s="515"/>
      <c r="D12" s="515"/>
      <c r="E12" s="515"/>
      <c r="F12" s="515"/>
      <c r="G12" s="516"/>
      <c r="H12" s="36"/>
      <c r="I12" s="15"/>
    </row>
    <row r="13" spans="1:11" ht="15.75" thickBot="1" x14ac:dyDescent="0.3">
      <c r="A13" s="1"/>
      <c r="B13" s="2"/>
      <c r="C13" s="3"/>
      <c r="D13" s="4"/>
      <c r="E13" s="4"/>
      <c r="F13" s="12"/>
      <c r="G13" s="5"/>
      <c r="H13" s="25" t="str">
        <f>IF(F13=0,"  ",VLOOKUP(F13,[13]Sheet1!$A$1:$B$8,2,FALSE))</f>
        <v xml:space="preserve">  </v>
      </c>
      <c r="I13" s="15"/>
    </row>
    <row r="14" spans="1:11" ht="15.75" thickBot="1" x14ac:dyDescent="0.3">
      <c r="A14" s="1"/>
      <c r="B14" s="92"/>
      <c r="C14" s="3"/>
      <c r="D14" s="4"/>
      <c r="E14" s="4"/>
      <c r="F14" s="12"/>
      <c r="G14" s="5"/>
      <c r="H14" s="25" t="str">
        <f>IF(F14=0," ",VLOOKUP(F14,[13]Sheet1!$A$1:$B$8,2,FALSE))</f>
        <v xml:space="preserve"> </v>
      </c>
      <c r="I14" s="15"/>
    </row>
    <row r="15" spans="1:11" ht="15.75" thickBot="1" x14ac:dyDescent="0.3">
      <c r="A15" s="517" t="s">
        <v>3</v>
      </c>
      <c r="B15" s="518"/>
      <c r="C15" s="518"/>
      <c r="D15" s="519"/>
      <c r="E15" s="102"/>
      <c r="F15" s="12"/>
      <c r="G15" s="87"/>
      <c r="H15" s="25" t="str">
        <f>IF(F15=0," ",VLOOKUP(F15,[13]Sheet1!$A$1:$B$8,2,FALSE))</f>
        <v xml:space="preserve"> </v>
      </c>
      <c r="I15" s="15"/>
    </row>
    <row r="16" spans="1:11" ht="15.75" thickBot="1" x14ac:dyDescent="0.3">
      <c r="A16" s="588" t="s">
        <v>210</v>
      </c>
      <c r="B16" s="592"/>
      <c r="C16" s="592"/>
      <c r="D16" s="592"/>
      <c r="E16" s="592"/>
      <c r="F16" s="592"/>
      <c r="G16" s="594"/>
      <c r="H16" s="37"/>
      <c r="I16" s="15"/>
    </row>
    <row r="17" spans="1:9" ht="45.75" thickBot="1" x14ac:dyDescent="0.3">
      <c r="A17" s="168" t="s">
        <v>283</v>
      </c>
      <c r="B17" s="169" t="s">
        <v>284</v>
      </c>
      <c r="C17" s="170" t="s">
        <v>284</v>
      </c>
      <c r="D17" s="170" t="s">
        <v>284</v>
      </c>
      <c r="E17" s="170"/>
      <c r="F17" s="170" t="s">
        <v>284</v>
      </c>
      <c r="G17" s="171" t="s">
        <v>284</v>
      </c>
      <c r="H17" s="25" t="e">
        <f>IF(F18=0," ",VLOOKUP(F18,[13]Sheet1!$A$1:$B$8,2,FALSE))</f>
        <v>#N/A</v>
      </c>
      <c r="I17" s="15"/>
    </row>
    <row r="18" spans="1:9" ht="15.75" thickBot="1" x14ac:dyDescent="0.3">
      <c r="A18" s="172"/>
      <c r="B18" s="169" t="s">
        <v>284</v>
      </c>
      <c r="C18" s="170" t="s">
        <v>284</v>
      </c>
      <c r="D18" s="173" t="s">
        <v>284</v>
      </c>
      <c r="E18" s="173" t="s">
        <v>284</v>
      </c>
      <c r="F18" s="174" t="s">
        <v>284</v>
      </c>
      <c r="G18" s="171" t="s">
        <v>284</v>
      </c>
      <c r="H18" s="25" t="e">
        <f>IF(#REF!=0," ",VLOOKUP(#REF!,[13]Sheet1!$A$1:$B$8,2,FALSE))</f>
        <v>#REF!</v>
      </c>
      <c r="I18" s="15"/>
    </row>
    <row r="19" spans="1:9" ht="15.75" thickBot="1" x14ac:dyDescent="0.3">
      <c r="A19" s="517" t="s">
        <v>4</v>
      </c>
      <c r="B19" s="575"/>
      <c r="C19" s="575"/>
      <c r="D19" s="576"/>
      <c r="E19" s="386">
        <f>E21</f>
        <v>12350</v>
      </c>
      <c r="F19" s="12"/>
      <c r="G19" s="93"/>
      <c r="H19" s="25" t="str">
        <f>IF(F19=0," ",VLOOKUP(F19,[13]Sheet1!$A$1:$B$8,2,FALSE))</f>
        <v xml:space="preserve"> </v>
      </c>
      <c r="I19" s="15"/>
    </row>
    <row r="20" spans="1:9" ht="15.75" thickBot="1" x14ac:dyDescent="0.3">
      <c r="A20" s="588" t="s">
        <v>167</v>
      </c>
      <c r="B20" s="589"/>
      <c r="C20" s="589"/>
      <c r="D20" s="589"/>
      <c r="E20" s="589"/>
      <c r="F20" s="589"/>
      <c r="G20" s="590"/>
      <c r="H20" s="37"/>
      <c r="I20" s="15"/>
    </row>
    <row r="21" spans="1:9" ht="102" thickBot="1" x14ac:dyDescent="0.3">
      <c r="A21" s="175" t="s">
        <v>285</v>
      </c>
      <c r="B21" s="169" t="s">
        <v>286</v>
      </c>
      <c r="C21" s="3">
        <v>2</v>
      </c>
      <c r="D21" s="4">
        <v>6175</v>
      </c>
      <c r="E21" s="4">
        <v>12350</v>
      </c>
      <c r="F21" s="12"/>
      <c r="G21" s="90" t="s">
        <v>287</v>
      </c>
      <c r="H21" s="25" t="str">
        <f>IF(F21=0," ",VLOOKUP(F21,[13]Sheet1!$A$1:$B$8,2,FALSE))</f>
        <v xml:space="preserve"> </v>
      </c>
      <c r="I21" s="15"/>
    </row>
    <row r="22" spans="1:9" ht="15.75" thickBot="1" x14ac:dyDescent="0.3">
      <c r="A22" s="1"/>
      <c r="B22" s="92"/>
      <c r="C22" s="3"/>
      <c r="D22" s="4"/>
      <c r="E22" s="4"/>
      <c r="F22" s="12"/>
      <c r="G22" s="93"/>
      <c r="H22" s="25" t="str">
        <f>IF(F22=0," ",VLOOKUP(F22,[13]Sheet1!$A$1:$B$8,2,FALSE))</f>
        <v xml:space="preserve"> </v>
      </c>
      <c r="I22" s="15"/>
    </row>
    <row r="23" spans="1:9" ht="15.75" thickBot="1" x14ac:dyDescent="0.3">
      <c r="A23" s="517" t="s">
        <v>5</v>
      </c>
      <c r="B23" s="518"/>
      <c r="C23" s="518"/>
      <c r="D23" s="523"/>
      <c r="E23" s="387">
        <f>E25+E26</f>
        <v>16850</v>
      </c>
      <c r="F23" s="12"/>
      <c r="G23" s="93"/>
      <c r="H23" s="25" t="str">
        <f>IF(F23=0," ",VLOOKUP(F23,[13]Sheet1!$A$1:$B$8,2,FALSE))</f>
        <v xml:space="preserve"> </v>
      </c>
      <c r="I23" s="15"/>
    </row>
    <row r="24" spans="1:9" ht="15.75" thickBot="1" x14ac:dyDescent="0.3">
      <c r="A24" s="591" t="s">
        <v>169</v>
      </c>
      <c r="B24" s="592"/>
      <c r="C24" s="589"/>
      <c r="D24" s="589"/>
      <c r="E24" s="589"/>
      <c r="F24" s="589"/>
      <c r="G24" s="590"/>
      <c r="H24" s="37"/>
      <c r="I24" s="15"/>
    </row>
    <row r="25" spans="1:9" ht="102" thickBot="1" x14ac:dyDescent="0.3">
      <c r="A25" s="176" t="s">
        <v>288</v>
      </c>
      <c r="B25" s="169" t="s">
        <v>286</v>
      </c>
      <c r="C25" s="3">
        <v>2</v>
      </c>
      <c r="D25" s="4">
        <v>6175</v>
      </c>
      <c r="E25" s="4">
        <v>12350</v>
      </c>
      <c r="F25" s="12"/>
      <c r="G25" s="177" t="s">
        <v>289</v>
      </c>
      <c r="H25" s="25" t="str">
        <f>IF(F25=0," ",VLOOKUP(F25,[13]Sheet1!$A$1:$B$8,2,FALSE))</f>
        <v xml:space="preserve"> </v>
      </c>
      <c r="I25" s="15"/>
    </row>
    <row r="26" spans="1:9" ht="124.5" thickBot="1" x14ac:dyDescent="0.3">
      <c r="A26" s="178"/>
      <c r="B26" s="169" t="s">
        <v>290</v>
      </c>
      <c r="C26" s="3">
        <v>1</v>
      </c>
      <c r="D26" s="4">
        <v>4500</v>
      </c>
      <c r="E26" s="4">
        <v>4500</v>
      </c>
      <c r="F26" s="12"/>
      <c r="G26" s="179" t="s">
        <v>291</v>
      </c>
      <c r="H26" s="25" t="str">
        <f>IF(F26=0," ",VLOOKUP(F26,[13]Sheet1!$A$1:$B$8,2,FALSE))</f>
        <v xml:space="preserve"> </v>
      </c>
      <c r="I26" s="15"/>
    </row>
    <row r="27" spans="1:9" ht="15.75" thickBot="1" x14ac:dyDescent="0.3">
      <c r="A27" s="593" t="s">
        <v>6</v>
      </c>
      <c r="B27" s="575"/>
      <c r="C27" s="518"/>
      <c r="D27" s="523"/>
      <c r="E27" s="387">
        <f>E29</f>
        <v>13000</v>
      </c>
      <c r="F27" s="12"/>
      <c r="G27" s="93"/>
      <c r="H27" s="25" t="str">
        <f>IF(F27=0," ",VLOOKUP(F27,[13]Sheet1!$A$1:$B$8,2,FALSE))</f>
        <v xml:space="preserve"> </v>
      </c>
      <c r="I27" s="15"/>
    </row>
    <row r="28" spans="1:9" ht="15.75" thickBot="1" x14ac:dyDescent="0.3">
      <c r="A28" s="312" t="s">
        <v>278</v>
      </c>
      <c r="B28" s="311"/>
      <c r="C28" s="309"/>
      <c r="D28" s="309"/>
      <c r="E28" s="309"/>
      <c r="F28" s="309"/>
      <c r="G28" s="310"/>
      <c r="H28" s="37"/>
      <c r="I28" s="15"/>
    </row>
    <row r="29" spans="1:9" ht="124.5" thickBot="1" x14ac:dyDescent="0.3">
      <c r="A29" s="176" t="s">
        <v>292</v>
      </c>
      <c r="B29" s="169" t="s">
        <v>293</v>
      </c>
      <c r="C29" s="3">
        <v>1</v>
      </c>
      <c r="D29" s="89">
        <v>13000</v>
      </c>
      <c r="E29" s="4">
        <v>13000</v>
      </c>
      <c r="F29" s="12"/>
      <c r="G29" s="90" t="s">
        <v>294</v>
      </c>
      <c r="H29" s="25" t="str">
        <f>IF(F29=0," ",VLOOKUP(F29,[13]Sheet1!$A$1:$B$8,2,FALSE))</f>
        <v xml:space="preserve"> </v>
      </c>
      <c r="I29" s="15"/>
    </row>
    <row r="30" spans="1:9" ht="15.75" thickBot="1" x14ac:dyDescent="0.3">
      <c r="A30" s="178"/>
      <c r="B30" s="180"/>
      <c r="C30" s="3"/>
      <c r="D30" s="4"/>
      <c r="E30" s="4"/>
      <c r="F30" s="12"/>
      <c r="G30" s="93"/>
      <c r="H30" s="25" t="str">
        <f>IF(F30=0," ",VLOOKUP(F30,[13]Sheet1!$A$1:$B$8,2,FALSE))</f>
        <v xml:space="preserve"> </v>
      </c>
      <c r="I30" s="15"/>
    </row>
    <row r="31" spans="1:9" ht="15.75" thickBot="1" x14ac:dyDescent="0.3">
      <c r="A31" s="593" t="s">
        <v>123</v>
      </c>
      <c r="B31" s="575"/>
      <c r="C31" s="518"/>
      <c r="D31" s="523"/>
      <c r="E31" s="386">
        <f>E33+E34+E35</f>
        <v>238000</v>
      </c>
      <c r="F31" s="12"/>
      <c r="G31" s="93"/>
      <c r="H31" s="25" t="str">
        <f>IF(F31=0," ",VLOOKUP(F31,[13]Sheet1!$A$1:$B$8,2,FALSE))</f>
        <v xml:space="preserve"> </v>
      </c>
      <c r="I31" s="15"/>
    </row>
    <row r="32" spans="1:9" ht="15.75" thickBot="1" x14ac:dyDescent="0.3">
      <c r="A32" s="318" t="s">
        <v>295</v>
      </c>
      <c r="B32" s="182"/>
      <c r="C32" s="309"/>
      <c r="D32" s="309"/>
      <c r="E32" s="309"/>
      <c r="F32" s="309"/>
      <c r="G32" s="310"/>
      <c r="H32" s="37"/>
      <c r="I32" s="15"/>
    </row>
    <row r="33" spans="1:9" ht="67.5" x14ac:dyDescent="0.25">
      <c r="A33" s="183" t="s">
        <v>296</v>
      </c>
      <c r="B33" s="184" t="s">
        <v>297</v>
      </c>
      <c r="C33" s="185">
        <v>4</v>
      </c>
      <c r="D33" s="186">
        <v>45000</v>
      </c>
      <c r="E33" s="186">
        <v>180000</v>
      </c>
      <c r="F33" s="187"/>
      <c r="G33" s="187" t="s">
        <v>298</v>
      </c>
      <c r="H33" s="188" t="str">
        <f>IF(F33=0," ",VLOOKUP(F33,[13]Sheet1!$A$1:$B$8,2,FALSE))</f>
        <v xml:space="preserve"> </v>
      </c>
    </row>
    <row r="34" spans="1:9" ht="33.75" x14ac:dyDescent="0.25">
      <c r="A34" s="178"/>
      <c r="B34" s="180" t="s">
        <v>299</v>
      </c>
      <c r="C34" s="170">
        <v>4</v>
      </c>
      <c r="D34" s="173">
        <v>2000</v>
      </c>
      <c r="E34" s="173">
        <v>8000</v>
      </c>
      <c r="F34" s="174"/>
      <c r="G34" s="171" t="s">
        <v>300</v>
      </c>
      <c r="H34" s="189" t="str">
        <f>IF(F34=0," ",VLOOKUP(F34,[13]Sheet1!$A$1:$B$8,2,FALSE))</f>
        <v xml:space="preserve"> </v>
      </c>
    </row>
    <row r="35" spans="1:9" ht="34.5" thickBot="1" x14ac:dyDescent="0.3">
      <c r="A35" s="190"/>
      <c r="B35" s="169" t="s">
        <v>301</v>
      </c>
      <c r="C35" s="319">
        <v>1</v>
      </c>
      <c r="D35" s="320">
        <v>50000</v>
      </c>
      <c r="E35" s="321">
        <v>50000</v>
      </c>
      <c r="F35" s="190"/>
      <c r="G35" s="169" t="s">
        <v>302</v>
      </c>
      <c r="H35" s="191"/>
    </row>
    <row r="36" spans="1:9" ht="15.75" thickBot="1" x14ac:dyDescent="0.3">
      <c r="A36" s="322" t="s">
        <v>558</v>
      </c>
      <c r="B36" s="311"/>
      <c r="C36" s="309"/>
      <c r="D36" s="309"/>
      <c r="E36" s="309"/>
      <c r="F36" s="309"/>
      <c r="G36" s="310"/>
      <c r="H36" s="37"/>
    </row>
    <row r="37" spans="1:9" ht="169.5" thickBot="1" x14ac:dyDescent="0.3">
      <c r="A37" s="323" t="s">
        <v>559</v>
      </c>
      <c r="B37" s="324" t="s">
        <v>560</v>
      </c>
      <c r="C37" s="313">
        <v>1</v>
      </c>
      <c r="D37" s="325">
        <v>3000</v>
      </c>
      <c r="E37" s="326">
        <v>3000</v>
      </c>
      <c r="F37" s="327"/>
      <c r="G37" s="328" t="s">
        <v>561</v>
      </c>
      <c r="H37" s="25" t="str">
        <f>IF(F37=0," ",VLOOKUP(F37,[14]Sheet1!$A$1:$B$8,2,FALSE))</f>
        <v xml:space="preserve"> </v>
      </c>
    </row>
    <row r="38" spans="1:9" ht="124.5" thickBot="1" x14ac:dyDescent="0.3">
      <c r="A38" s="323"/>
      <c r="B38" s="329" t="s">
        <v>562</v>
      </c>
      <c r="C38" s="313">
        <v>20</v>
      </c>
      <c r="D38" s="325">
        <v>1400</v>
      </c>
      <c r="E38" s="326">
        <v>28000</v>
      </c>
      <c r="F38" s="327"/>
      <c r="G38" s="328" t="s">
        <v>563</v>
      </c>
      <c r="H38" s="25"/>
    </row>
    <row r="39" spans="1:9" ht="203.25" thickBot="1" x14ac:dyDescent="0.3">
      <c r="A39" s="330"/>
      <c r="B39" s="331" t="s">
        <v>564</v>
      </c>
      <c r="C39" s="313">
        <v>15</v>
      </c>
      <c r="D39" s="325">
        <v>1910</v>
      </c>
      <c r="E39" s="326">
        <v>28650</v>
      </c>
      <c r="F39" s="327"/>
      <c r="G39" s="328" t="s">
        <v>565</v>
      </c>
      <c r="H39" s="25"/>
    </row>
    <row r="40" spans="1:9" ht="57" thickBot="1" x14ac:dyDescent="0.3">
      <c r="A40" s="332"/>
      <c r="B40" s="333" t="s">
        <v>566</v>
      </c>
      <c r="C40" s="313">
        <v>35</v>
      </c>
      <c r="D40" s="334">
        <v>300</v>
      </c>
      <c r="E40" s="326">
        <v>10500</v>
      </c>
      <c r="F40" s="327"/>
      <c r="G40" s="328" t="s">
        <v>567</v>
      </c>
      <c r="H40" s="25" t="str">
        <f>IF(F40=0," ",VLOOKUP(F40,[14]Sheet1!$A$1:$B$8,2,FALSE))</f>
        <v xml:space="preserve"> </v>
      </c>
    </row>
    <row r="41" spans="1:9" ht="15.75" thickBot="1" x14ac:dyDescent="0.3">
      <c r="A41" s="335"/>
      <c r="B41" s="336"/>
      <c r="C41" s="337"/>
      <c r="D41" s="338" t="s">
        <v>123</v>
      </c>
      <c r="E41" s="386">
        <f>E37+E38+E39+E40</f>
        <v>70150</v>
      </c>
      <c r="F41" s="12"/>
      <c r="G41" s="93"/>
      <c r="H41" s="25" t="str">
        <f>IF(F41=0," ",VLOOKUP(F41,[14]Sheet1!$A$1:$B$8,2,FALSE))</f>
        <v xml:space="preserve"> </v>
      </c>
    </row>
    <row r="42" spans="1:9" ht="15.75" thickBot="1" x14ac:dyDescent="0.3">
      <c r="A42" s="517" t="s">
        <v>126</v>
      </c>
      <c r="B42" s="518"/>
      <c r="C42" s="518"/>
      <c r="D42" s="523"/>
      <c r="E42" s="386">
        <f>E44+E45+E46+E47+E48+E49</f>
        <v>591156</v>
      </c>
      <c r="F42" s="12"/>
      <c r="G42" s="93"/>
      <c r="H42" s="25" t="str">
        <f>IF(F42=0," ",VLOOKUP(F42,[13]Sheet1!$A$1:$B$8,2,FALSE))</f>
        <v xml:space="preserve"> </v>
      </c>
    </row>
    <row r="43" spans="1:9" ht="15.75" thickBot="1" x14ac:dyDescent="0.3">
      <c r="A43" s="312" t="s">
        <v>303</v>
      </c>
      <c r="B43" s="311"/>
      <c r="C43" s="309"/>
      <c r="D43" s="309"/>
      <c r="E43" s="309"/>
      <c r="F43" s="309"/>
      <c r="G43" s="310"/>
      <c r="H43" s="37"/>
    </row>
    <row r="44" spans="1:9" ht="45.75" thickBot="1" x14ac:dyDescent="0.3">
      <c r="A44" s="192" t="s">
        <v>304</v>
      </c>
      <c r="B44" s="193" t="s">
        <v>305</v>
      </c>
      <c r="C44" s="3">
        <v>1</v>
      </c>
      <c r="D44" s="49">
        <v>228222</v>
      </c>
      <c r="E44" s="49">
        <f>D44*C44</f>
        <v>228222</v>
      </c>
      <c r="F44" s="12"/>
      <c r="G44" s="177" t="s">
        <v>306</v>
      </c>
      <c r="H44" s="25" t="str">
        <f>IF(F44=0," ",VLOOKUP(F44,[13]Sheet1!$A$1:$B$8,2,FALSE))</f>
        <v xml:space="preserve"> </v>
      </c>
      <c r="I44" s="15"/>
    </row>
    <row r="45" spans="1:9" ht="57" thickBot="1" x14ac:dyDescent="0.3">
      <c r="A45" s="192"/>
      <c r="B45" s="193" t="s">
        <v>307</v>
      </c>
      <c r="C45" s="3">
        <v>1</v>
      </c>
      <c r="D45" s="49">
        <v>264050</v>
      </c>
      <c r="E45" s="49">
        <v>264050</v>
      </c>
      <c r="F45" s="12"/>
      <c r="G45" s="90" t="s">
        <v>308</v>
      </c>
      <c r="H45" s="25"/>
      <c r="I45" s="15"/>
    </row>
    <row r="46" spans="1:9" ht="34.5" thickBot="1" x14ac:dyDescent="0.3">
      <c r="A46" s="192"/>
      <c r="B46" s="339" t="s">
        <v>309</v>
      </c>
      <c r="C46" s="3">
        <v>1</v>
      </c>
      <c r="D46" s="49">
        <v>18405</v>
      </c>
      <c r="E46" s="49">
        <v>18405</v>
      </c>
      <c r="F46" s="12"/>
      <c r="G46" s="90" t="s">
        <v>310</v>
      </c>
      <c r="H46" s="25"/>
      <c r="I46" s="15"/>
    </row>
    <row r="47" spans="1:9" ht="57" thickBot="1" x14ac:dyDescent="0.3">
      <c r="A47" s="192"/>
      <c r="B47" s="193" t="s">
        <v>311</v>
      </c>
      <c r="C47" s="3">
        <v>1</v>
      </c>
      <c r="D47" s="49">
        <v>58283</v>
      </c>
      <c r="E47" s="49">
        <v>58283</v>
      </c>
      <c r="F47" s="12"/>
      <c r="G47" s="90" t="s">
        <v>312</v>
      </c>
      <c r="H47" s="25"/>
      <c r="I47" s="15"/>
    </row>
    <row r="48" spans="1:9" ht="45.75" thickBot="1" x14ac:dyDescent="0.3">
      <c r="A48" s="192"/>
      <c r="B48" s="193" t="s">
        <v>313</v>
      </c>
      <c r="C48" s="3">
        <v>1</v>
      </c>
      <c r="D48" s="49">
        <v>4296</v>
      </c>
      <c r="E48" s="49">
        <v>4296</v>
      </c>
      <c r="F48" s="12"/>
      <c r="G48" s="90" t="s">
        <v>314</v>
      </c>
      <c r="H48" s="25"/>
      <c r="I48" s="15"/>
    </row>
    <row r="49" spans="1:11" ht="68.25" thickBot="1" x14ac:dyDescent="0.3">
      <c r="A49" s="178"/>
      <c r="B49" s="340" t="s">
        <v>315</v>
      </c>
      <c r="C49" s="3">
        <v>1</v>
      </c>
      <c r="D49" s="49">
        <v>17900</v>
      </c>
      <c r="E49" s="49">
        <v>17900</v>
      </c>
      <c r="F49" s="12"/>
      <c r="G49" s="90" t="s">
        <v>316</v>
      </c>
      <c r="H49" s="25" t="str">
        <f>IF(F49=0," ",VLOOKUP(F49,[13]Sheet1!$A$1:$B$8,2,FALSE))</f>
        <v xml:space="preserve"> </v>
      </c>
      <c r="I49" s="15"/>
    </row>
    <row r="50" spans="1:11" ht="15.75" thickBot="1" x14ac:dyDescent="0.3">
      <c r="A50" s="526" t="s">
        <v>11</v>
      </c>
      <c r="B50" s="527"/>
      <c r="C50" s="527"/>
      <c r="D50" s="528"/>
      <c r="E50" s="53">
        <f>E19+E23+E27+E31+E41+E42</f>
        <v>941506</v>
      </c>
      <c r="F50" s="93"/>
      <c r="G50" s="93"/>
      <c r="H50" s="38"/>
      <c r="I50" s="15"/>
    </row>
    <row r="51" spans="1:11" ht="15.75" thickBot="1" x14ac:dyDescent="0.3">
      <c r="A51" s="532" t="s">
        <v>12</v>
      </c>
      <c r="B51" s="533"/>
      <c r="C51" s="533"/>
      <c r="D51" s="533"/>
      <c r="E51" s="533"/>
      <c r="F51" s="533"/>
      <c r="G51" s="534"/>
      <c r="H51" s="39"/>
      <c r="I51" s="78"/>
    </row>
    <row r="52" spans="1:11" ht="79.5" customHeight="1" thickBot="1" x14ac:dyDescent="0.3">
      <c r="A52" s="526" t="s">
        <v>13</v>
      </c>
      <c r="B52" s="527"/>
      <c r="C52" s="527"/>
      <c r="D52" s="528"/>
      <c r="E52" s="6"/>
      <c r="F52" s="93"/>
      <c r="G52" s="93"/>
      <c r="H52" s="40" t="s">
        <v>40</v>
      </c>
      <c r="I52" s="15"/>
    </row>
    <row r="53" spans="1:11" ht="15.75" thickBot="1" x14ac:dyDescent="0.3">
      <c r="A53" s="529" t="s">
        <v>22</v>
      </c>
      <c r="B53" s="530"/>
      <c r="C53" s="530"/>
      <c r="D53" s="531"/>
      <c r="E53" s="360">
        <v>941506</v>
      </c>
      <c r="F53" s="93"/>
      <c r="G53" s="93"/>
      <c r="H53" s="41"/>
      <c r="I53" s="15"/>
    </row>
    <row r="54" spans="1:11" ht="15.75" thickBot="1" x14ac:dyDescent="0.3">
      <c r="A54" s="15"/>
      <c r="B54" s="15"/>
      <c r="C54" s="15"/>
      <c r="D54" s="15"/>
      <c r="E54" s="15"/>
      <c r="F54" s="15"/>
      <c r="G54" s="15"/>
      <c r="H54" s="29"/>
      <c r="I54" s="15"/>
    </row>
    <row r="55" spans="1:11" ht="15.75" thickBot="1" x14ac:dyDescent="0.3">
      <c r="A55" s="486" t="s">
        <v>19</v>
      </c>
      <c r="B55" s="486"/>
      <c r="C55" s="486"/>
      <c r="D55" s="486"/>
      <c r="E55" s="9">
        <v>0</v>
      </c>
      <c r="F55" s="15"/>
      <c r="G55" s="15"/>
      <c r="H55" s="29"/>
      <c r="I55" s="15"/>
      <c r="K55" s="282"/>
    </row>
    <row r="56" spans="1:11" ht="15.75" thickBot="1" x14ac:dyDescent="0.3">
      <c r="A56" s="486" t="s">
        <v>20</v>
      </c>
      <c r="B56" s="486"/>
      <c r="C56" s="486"/>
      <c r="D56" s="486"/>
      <c r="E56" s="360">
        <v>941506</v>
      </c>
      <c r="F56" s="15"/>
      <c r="G56" s="15"/>
      <c r="H56" s="29"/>
      <c r="I56" s="15"/>
    </row>
    <row r="57" spans="1:11" x14ac:dyDescent="0.25">
      <c r="A57" s="15"/>
      <c r="B57" s="15"/>
      <c r="C57" s="15"/>
      <c r="D57" s="15"/>
      <c r="E57" s="15"/>
      <c r="F57" s="15"/>
      <c r="G57" s="15"/>
      <c r="H57" s="29"/>
    </row>
    <row r="58" spans="1:11" x14ac:dyDescent="0.25">
      <c r="A58" s="15"/>
      <c r="B58" s="15"/>
      <c r="C58" s="15"/>
      <c r="D58" s="15"/>
      <c r="E58" s="15"/>
      <c r="F58" s="15"/>
      <c r="G58" s="15"/>
      <c r="H58" s="29"/>
    </row>
    <row r="59" spans="1:11" x14ac:dyDescent="0.25">
      <c r="A59" s="15"/>
      <c r="B59" s="15"/>
      <c r="C59" s="15"/>
      <c r="D59" s="15"/>
      <c r="E59" s="15"/>
      <c r="F59" s="15"/>
      <c r="G59" s="15"/>
      <c r="H59" s="29"/>
    </row>
    <row r="60" spans="1:11" ht="57" customHeight="1" thickBot="1" x14ac:dyDescent="0.3">
      <c r="A60" s="341"/>
      <c r="B60" s="341"/>
      <c r="C60" s="341"/>
      <c r="D60" s="341"/>
      <c r="E60" s="341"/>
      <c r="F60" s="341"/>
      <c r="G60" s="341"/>
      <c r="H60" s="341"/>
      <c r="I60" s="341"/>
      <c r="J60" s="341"/>
    </row>
    <row r="61" spans="1:11" ht="40.5" customHeight="1" x14ac:dyDescent="0.25">
      <c r="A61" s="342" t="s">
        <v>568</v>
      </c>
      <c r="B61" s="583" t="s">
        <v>27</v>
      </c>
      <c r="C61" s="577" t="s">
        <v>28</v>
      </c>
      <c r="D61" s="577" t="s">
        <v>29</v>
      </c>
      <c r="E61" s="577" t="s">
        <v>30</v>
      </c>
      <c r="F61" s="577" t="s">
        <v>230</v>
      </c>
      <c r="G61" s="577" t="s">
        <v>317</v>
      </c>
      <c r="H61" s="579" t="s">
        <v>570</v>
      </c>
      <c r="I61" s="581" t="s">
        <v>318</v>
      </c>
      <c r="J61" s="581" t="s">
        <v>25</v>
      </c>
    </row>
    <row r="62" spans="1:11" ht="15.75" thickBot="1" x14ac:dyDescent="0.3">
      <c r="A62" s="343" t="s">
        <v>569</v>
      </c>
      <c r="B62" s="584"/>
      <c r="C62" s="578"/>
      <c r="D62" s="578"/>
      <c r="E62" s="578"/>
      <c r="F62" s="578"/>
      <c r="G62" s="578"/>
      <c r="H62" s="580"/>
      <c r="I62" s="582"/>
      <c r="J62" s="582"/>
    </row>
    <row r="63" spans="1:11" ht="23.25" thickBot="1" x14ac:dyDescent="0.3">
      <c r="A63" s="344" t="s">
        <v>50</v>
      </c>
      <c r="B63" s="175" t="s">
        <v>284</v>
      </c>
      <c r="C63" s="388" t="s">
        <v>284</v>
      </c>
      <c r="D63" s="196" t="s">
        <v>284</v>
      </c>
      <c r="E63" s="197" t="s">
        <v>284</v>
      </c>
      <c r="F63" s="197" t="s">
        <v>284</v>
      </c>
      <c r="G63" s="197" t="s">
        <v>284</v>
      </c>
      <c r="H63" s="345"/>
      <c r="I63" s="346"/>
      <c r="J63" s="347"/>
    </row>
    <row r="64" spans="1:11" ht="23.25" thickBot="1" x14ac:dyDescent="0.3">
      <c r="A64" s="344" t="s">
        <v>51</v>
      </c>
      <c r="B64" s="175"/>
      <c r="C64" s="388"/>
      <c r="D64" s="197">
        <v>12350</v>
      </c>
      <c r="E64" s="197">
        <v>12350</v>
      </c>
      <c r="F64" s="197"/>
      <c r="G64" s="197"/>
      <c r="H64" s="348">
        <v>7650</v>
      </c>
      <c r="I64" s="349"/>
      <c r="J64" s="350"/>
    </row>
    <row r="65" spans="1:10" ht="23.25" thickBot="1" x14ac:dyDescent="0.3">
      <c r="A65" s="344" t="s">
        <v>52</v>
      </c>
      <c r="B65" s="175"/>
      <c r="C65" s="388"/>
      <c r="D65" s="196"/>
      <c r="E65" s="197"/>
      <c r="F65" s="197"/>
      <c r="G65" s="197"/>
      <c r="H65" s="345"/>
      <c r="I65" s="351"/>
      <c r="J65" s="352"/>
    </row>
    <row r="66" spans="1:10" ht="23.25" thickBot="1" x14ac:dyDescent="0.3">
      <c r="A66" s="344" t="s">
        <v>53</v>
      </c>
      <c r="B66" s="175"/>
      <c r="C66" s="388"/>
      <c r="D66" s="196"/>
      <c r="E66" s="197"/>
      <c r="F66" s="197"/>
      <c r="G66" s="353">
        <v>238000</v>
      </c>
      <c r="H66" s="345"/>
      <c r="I66" s="354">
        <v>591156</v>
      </c>
      <c r="J66" s="352"/>
    </row>
    <row r="67" spans="1:10" ht="23.25" customHeight="1" thickBot="1" x14ac:dyDescent="0.3">
      <c r="A67" s="344" t="s">
        <v>54</v>
      </c>
      <c r="B67" s="175"/>
      <c r="C67" s="388"/>
      <c r="D67" s="196"/>
      <c r="E67" s="197"/>
      <c r="F67" s="197"/>
      <c r="G67" s="197"/>
      <c r="H67" s="345"/>
      <c r="I67" s="349"/>
      <c r="J67" s="347"/>
    </row>
    <row r="68" spans="1:10" ht="23.25" thickBot="1" x14ac:dyDescent="0.3">
      <c r="A68" s="344" t="s">
        <v>55</v>
      </c>
      <c r="B68" s="175"/>
      <c r="C68" s="388" t="s">
        <v>284</v>
      </c>
      <c r="D68" s="196"/>
      <c r="E68" s="197" t="s">
        <v>284</v>
      </c>
      <c r="F68" s="197" t="s">
        <v>284</v>
      </c>
      <c r="G68" s="197"/>
      <c r="H68" s="345"/>
      <c r="I68" s="349"/>
      <c r="J68" s="350"/>
    </row>
    <row r="69" spans="1:10" ht="34.5" thickBot="1" x14ac:dyDescent="0.3">
      <c r="A69" s="344" t="s">
        <v>56</v>
      </c>
      <c r="B69" s="175"/>
      <c r="C69" s="388" t="s">
        <v>284</v>
      </c>
      <c r="D69" s="196" t="s">
        <v>284</v>
      </c>
      <c r="E69" s="355">
        <v>4500</v>
      </c>
      <c r="F69" s="249">
        <v>13000</v>
      </c>
      <c r="G69" s="197"/>
      <c r="H69" s="348">
        <v>62500</v>
      </c>
      <c r="I69" s="349"/>
      <c r="J69" s="352"/>
    </row>
    <row r="70" spans="1:10" ht="23.25" thickBot="1" x14ac:dyDescent="0.3">
      <c r="A70" s="344" t="s">
        <v>57</v>
      </c>
      <c r="B70" s="175"/>
      <c r="C70" s="388"/>
      <c r="D70" s="196"/>
      <c r="E70" s="197"/>
      <c r="F70" s="197"/>
      <c r="G70" s="197"/>
      <c r="H70" s="345"/>
      <c r="I70" s="351"/>
      <c r="J70" s="352"/>
    </row>
    <row r="71" spans="1:10" ht="15.75" thickBot="1" x14ac:dyDescent="0.3">
      <c r="A71" s="344" t="s">
        <v>32</v>
      </c>
      <c r="B71" s="175"/>
      <c r="C71" s="388"/>
      <c r="D71" s="196"/>
      <c r="E71" s="197"/>
      <c r="F71" s="197"/>
      <c r="G71" s="197"/>
      <c r="H71" s="345"/>
      <c r="I71" s="346"/>
      <c r="J71" s="352"/>
    </row>
    <row r="72" spans="1:10" ht="15.75" thickBot="1" x14ac:dyDescent="0.3">
      <c r="A72" s="356" t="s">
        <v>33</v>
      </c>
      <c r="B72" s="207"/>
      <c r="C72" s="388"/>
      <c r="D72" s="358">
        <v>12350</v>
      </c>
      <c r="E72" s="358">
        <v>16850</v>
      </c>
      <c r="F72" s="358">
        <v>13000</v>
      </c>
      <c r="G72" s="358">
        <v>238000</v>
      </c>
      <c r="H72" s="358">
        <v>70150</v>
      </c>
      <c r="I72" s="358">
        <v>591156</v>
      </c>
      <c r="J72" s="359">
        <v>941506</v>
      </c>
    </row>
    <row r="73" spans="1:10" ht="15.75" thickBot="1" x14ac:dyDescent="0.3">
      <c r="A73" s="356" t="s">
        <v>34</v>
      </c>
      <c r="B73" s="357"/>
      <c r="C73" s="275"/>
      <c r="D73" s="196"/>
      <c r="E73" s="197"/>
      <c r="F73" s="197"/>
      <c r="G73" s="197"/>
      <c r="H73" s="345"/>
      <c r="I73" s="349"/>
      <c r="J73" s="352"/>
    </row>
    <row r="76" spans="1:10" x14ac:dyDescent="0.25">
      <c r="A76" s="292" t="s">
        <v>538</v>
      </c>
      <c r="B76" s="294">
        <f>E48+E49+E21+E25+E26+E29+E37+E38+E39+E40+E19</f>
        <v>146896</v>
      </c>
    </row>
    <row r="77" spans="1:10" ht="21.75" customHeight="1" x14ac:dyDescent="0.25">
      <c r="A77" s="292" t="s">
        <v>539</v>
      </c>
      <c r="B77" s="294">
        <v>0</v>
      </c>
    </row>
    <row r="78" spans="1:10" x14ac:dyDescent="0.25">
      <c r="A78" s="293" t="s">
        <v>34</v>
      </c>
      <c r="B78" s="295">
        <f>(B76+B77)/E53</f>
        <v>0.15602237266677005</v>
      </c>
    </row>
  </sheetData>
  <mergeCells count="32">
    <mergeCell ref="A42:D42"/>
    <mergeCell ref="B8:G8"/>
    <mergeCell ref="B3:G3"/>
    <mergeCell ref="B4:G4"/>
    <mergeCell ref="B5:G5"/>
    <mergeCell ref="B6:G6"/>
    <mergeCell ref="B7:G7"/>
    <mergeCell ref="A20:G20"/>
    <mergeCell ref="A23:D23"/>
    <mergeCell ref="A24:G24"/>
    <mergeCell ref="A27:D27"/>
    <mergeCell ref="A31:D31"/>
    <mergeCell ref="A11:G11"/>
    <mergeCell ref="A12:G12"/>
    <mergeCell ref="A15:D15"/>
    <mergeCell ref="A16:G16"/>
    <mergeCell ref="A19:D19"/>
    <mergeCell ref="G61:G62"/>
    <mergeCell ref="H61:H62"/>
    <mergeCell ref="I61:I62"/>
    <mergeCell ref="J61:J62"/>
    <mergeCell ref="A50:D50"/>
    <mergeCell ref="B61:B62"/>
    <mergeCell ref="C61:C62"/>
    <mergeCell ref="D61:D62"/>
    <mergeCell ref="E61:E62"/>
    <mergeCell ref="F61:F62"/>
    <mergeCell ref="A51:G51"/>
    <mergeCell ref="A52:D52"/>
    <mergeCell ref="A53:D53"/>
    <mergeCell ref="A55:D55"/>
    <mergeCell ref="A56:D5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[13]Sheet1!#REF!</xm:f>
          </x14:formula1>
          <xm:sqref>F44:F49 F18:F19 F21:F23 F25:F27 F13:F15</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16</vt:i4>
      </vt:variant>
      <vt:variant>
        <vt:lpstr>Named Ranges</vt:lpstr>
      </vt:variant>
      <vt:variant>
        <vt:i4>3</vt:i4>
      </vt:variant>
    </vt:vector>
  </HeadingPairs>
  <TitlesOfParts>
    <vt:vector size="19" baseType="lpstr">
      <vt:lpstr>PDP1</vt:lpstr>
      <vt:lpstr>Sheet1</vt:lpstr>
      <vt:lpstr>PDP2</vt:lpstr>
      <vt:lpstr>PDP3</vt:lpstr>
      <vt:lpstr>PDP4</vt:lpstr>
      <vt:lpstr>PDP5</vt:lpstr>
      <vt:lpstr>PDP6</vt:lpstr>
      <vt:lpstr>PDP7</vt:lpstr>
      <vt:lpstr>PDP8</vt:lpstr>
      <vt:lpstr>PDP9</vt:lpstr>
      <vt:lpstr>PDP10</vt:lpstr>
      <vt:lpstr>PDP11</vt:lpstr>
      <vt:lpstr>PDP12</vt:lpstr>
      <vt:lpstr>PDP13</vt:lpstr>
      <vt:lpstr>PDP14</vt:lpstr>
      <vt:lpstr>Total</vt:lpstr>
      <vt:lpstr>'PDP1'!Print_Area</vt:lpstr>
      <vt:lpstr>'PDP12'!Print_Area</vt:lpstr>
      <vt:lpstr>'PDP1'!Print_Titles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NRC Roving FM</dc:creator>
  <cp:lastModifiedBy>Krasimir N. Ushnev</cp:lastModifiedBy>
  <cp:lastPrinted>2018-01-22T13:21:03Z</cp:lastPrinted>
  <dcterms:created xsi:type="dcterms:W3CDTF">2016-03-14T10:55:09Z</dcterms:created>
  <dcterms:modified xsi:type="dcterms:W3CDTF">2018-04-19T07:41:02Z</dcterms:modified>
</cp:coreProperties>
</file>